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printerSettings/printerSettings1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printerSettings/printerSettings8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4.bin" ContentType="application/vnd.openxmlformats-officedocument.spreadsheetml.printerSettings"/>
  <Override PartName="/docProps/core.xml" ContentType="application/vnd.openxmlformats-package.core-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390" yWindow="60" windowWidth="14310" windowHeight="6390" tabRatio="911"/>
  </bookViews>
  <sheets>
    <sheet name=" Electric" sheetId="1" r:id="rId1"/>
    <sheet name=" Gas" sheetId="2" r:id="rId2"/>
    <sheet name="4 Year Average Calc" sheetId="34" r:id="rId3"/>
    <sheet name="Incent &amp; Related PR Tax - TY" sheetId="3" r:id="rId4"/>
    <sheet name="Report 2024" sheetId="25" r:id="rId5"/>
    <sheet name="WP" sheetId="36" r:id="rId6"/>
    <sheet name="Manual Clearing" sheetId="15" r:id="rId7"/>
    <sheet name="FERC Topsides" sheetId="35" r:id="rId8"/>
    <sheet name="PR Taxes" sheetId="33" r:id="rId9"/>
  </sheets>
  <externalReferences>
    <externalReference r:id="rId10"/>
  </externalReferences>
  <definedNames>
    <definedName name="wrn.Incentive._.Overhead." localSheetId="5" hidden="1">{#N/A,#N/A,FALSE,"Coversheet";#N/A,#N/A,FALSE,"QA"}</definedName>
    <definedName name="wrn.Incentive._.Overhead." hidden="1">{#N/A,#N/A,FALSE,"Coversheet";#N/A,#N/A,FALSE,"QA"}</definedName>
  </definedNames>
  <calcPr calcId="162913" concurrentManualCount="12"/>
</workbook>
</file>

<file path=xl/calcChain.xml><?xml version="1.0" encoding="utf-8"?>
<calcChain xmlns="http://schemas.openxmlformats.org/spreadsheetml/2006/main">
  <c r="D60" i="36" l="1"/>
  <c r="D61" i="36"/>
  <c r="D62" i="36"/>
  <c r="D63" i="36"/>
  <c r="D64" i="36"/>
  <c r="D11" i="36"/>
  <c r="D10" i="36"/>
  <c r="D7" i="36"/>
  <c r="G6" i="36"/>
  <c r="F6" i="36"/>
  <c r="E6" i="36"/>
  <c r="E11" i="36" l="1"/>
  <c r="G10" i="36"/>
  <c r="G9" i="36"/>
  <c r="G7" i="36"/>
  <c r="G12" i="36" s="1"/>
  <c r="G12" i="34"/>
  <c r="F9" i="36" l="1"/>
  <c r="F7" i="36"/>
  <c r="E7" i="36"/>
  <c r="E12" i="36" s="1"/>
  <c r="D59" i="36"/>
  <c r="C8" i="15"/>
  <c r="F8" i="15"/>
  <c r="F9" i="15"/>
  <c r="F10" i="15"/>
  <c r="F11" i="15"/>
  <c r="F12" i="15"/>
  <c r="F13" i="15"/>
  <c r="F14" i="15"/>
  <c r="D9" i="15"/>
  <c r="D10" i="15"/>
  <c r="D11" i="15"/>
  <c r="D12" i="15"/>
  <c r="D14" i="15" s="1"/>
  <c r="D13" i="15"/>
  <c r="D8" i="15"/>
  <c r="E10" i="15"/>
  <c r="C10" i="15" s="1"/>
  <c r="E11" i="15"/>
  <c r="C11" i="15" s="1"/>
  <c r="E12" i="15"/>
  <c r="C12" i="15" s="1"/>
  <c r="E13" i="15"/>
  <c r="C13" i="15" s="1"/>
  <c r="E9" i="15"/>
  <c r="C9" i="15" s="1"/>
  <c r="E8" i="15"/>
  <c r="I29" i="25"/>
  <c r="L29" i="25"/>
  <c r="E14" i="15" l="1"/>
  <c r="C14" i="15"/>
  <c r="E29" i="25"/>
  <c r="F29" i="25"/>
  <c r="G29" i="25"/>
  <c r="H29" i="25"/>
  <c r="D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5" i="25" s="1"/>
  <c r="K16" i="25" s="1"/>
  <c r="K17" i="25" s="1"/>
  <c r="O28" i="25"/>
  <c r="M28" i="25"/>
  <c r="O27" i="25"/>
  <c r="M27" i="25"/>
  <c r="O26" i="25"/>
  <c r="M26" i="25"/>
  <c r="O25" i="25"/>
  <c r="M25" i="25"/>
  <c r="O24" i="25"/>
  <c r="M24" i="25"/>
  <c r="O23" i="25"/>
  <c r="M23" i="25"/>
  <c r="O22" i="25"/>
  <c r="M22" i="25"/>
  <c r="O21" i="25"/>
  <c r="M21" i="25"/>
  <c r="O20" i="25"/>
  <c r="M20" i="25"/>
  <c r="O19" i="25"/>
  <c r="M19" i="25"/>
  <c r="O18" i="25"/>
  <c r="M18" i="25"/>
  <c r="O15" i="25"/>
  <c r="M15" i="25"/>
  <c r="K14" i="25"/>
  <c r="K18" i="25" l="1"/>
  <c r="K19" i="25" s="1"/>
  <c r="K20" i="25" s="1"/>
  <c r="K21" i="25" s="1"/>
  <c r="K22" i="25" s="1"/>
  <c r="K23" i="25" s="1"/>
  <c r="K24" i="25" s="1"/>
  <c r="K25" i="25" s="1"/>
  <c r="K26" i="25" s="1"/>
  <c r="K27" i="25" s="1"/>
  <c r="K28" i="25" s="1"/>
  <c r="F12" i="34" l="1"/>
  <c r="D11" i="3" s="1"/>
  <c r="E12" i="34"/>
  <c r="C11" i="3" s="1"/>
  <c r="D12" i="34"/>
  <c r="H12" i="34" s="1"/>
  <c r="I12" i="34" l="1"/>
  <c r="J12" i="34" s="1"/>
  <c r="B16" i="3"/>
  <c r="K12" i="34" l="1"/>
  <c r="F17" i="36"/>
  <c r="F18" i="36"/>
  <c r="G19" i="36"/>
  <c r="E20" i="36"/>
  <c r="F26" i="36"/>
  <c r="G27" i="36"/>
  <c r="G28" i="36"/>
  <c r="E29" i="36"/>
  <c r="F35" i="36"/>
  <c r="F36" i="36"/>
  <c r="G37" i="36"/>
  <c r="E38" i="36"/>
  <c r="F44" i="36"/>
  <c r="F45" i="36"/>
  <c r="G46" i="36"/>
  <c r="E47" i="36"/>
  <c r="F53" i="36"/>
  <c r="F54" i="36"/>
  <c r="G55" i="36"/>
  <c r="E56" i="36"/>
  <c r="E43" i="36" l="1"/>
  <c r="E34" i="36"/>
  <c r="E39" i="36" s="1"/>
  <c r="F34" i="36"/>
  <c r="F39" i="36" s="1"/>
  <c r="G52" i="36"/>
  <c r="E52" i="36"/>
  <c r="E57" i="36" s="1"/>
  <c r="F16" i="36"/>
  <c r="F21" i="36" s="1"/>
  <c r="G54" i="36"/>
  <c r="F52" i="36"/>
  <c r="F57" i="36" s="1"/>
  <c r="G16" i="36"/>
  <c r="E16" i="36"/>
  <c r="E21" i="36" s="1"/>
  <c r="F27" i="36"/>
  <c r="G34" i="36"/>
  <c r="E25" i="36"/>
  <c r="E30" i="36" s="1"/>
  <c r="E48" i="36"/>
  <c r="D57" i="36"/>
  <c r="E59" i="36" s="1"/>
  <c r="D39" i="36"/>
  <c r="E61" i="36" s="1"/>
  <c r="G45" i="36"/>
  <c r="G36" i="36"/>
  <c r="G18" i="36"/>
  <c r="D48" i="36"/>
  <c r="E60" i="36" s="1"/>
  <c r="D30" i="36"/>
  <c r="E62" i="36" s="1"/>
  <c r="G43" i="36"/>
  <c r="G25" i="36"/>
  <c r="G30" i="36" s="1"/>
  <c r="F43" i="36"/>
  <c r="F48" i="36" s="1"/>
  <c r="F25" i="36"/>
  <c r="D21" i="36"/>
  <c r="E63" i="36" s="1"/>
  <c r="G57" i="36" l="1"/>
  <c r="G21" i="36"/>
  <c r="G39" i="36"/>
  <c r="F30" i="36"/>
  <c r="G48" i="36"/>
  <c r="J28" i="25"/>
  <c r="I33" i="15" l="1"/>
  <c r="I34" i="15"/>
  <c r="I35" i="15"/>
  <c r="I36" i="15"/>
  <c r="I37" i="15"/>
  <c r="I32" i="15"/>
  <c r="I38" i="15" s="1"/>
  <c r="F6" i="35"/>
  <c r="G7" i="35" s="1"/>
  <c r="G5" i="35"/>
  <c r="N29" i="25" l="1"/>
  <c r="E38" i="15"/>
  <c r="F39" i="25" l="1"/>
  <c r="B15" i="3" l="1"/>
  <c r="G28" i="15" l="1"/>
  <c r="O14" i="15"/>
  <c r="P14" i="15"/>
  <c r="C28" i="15" l="1"/>
  <c r="I11" i="34" l="1"/>
  <c r="K11" i="34" s="1"/>
  <c r="H11" i="34"/>
  <c r="I10" i="34"/>
  <c r="J10" i="34" s="1"/>
  <c r="H10" i="34"/>
  <c r="I9" i="34"/>
  <c r="J9" i="34" s="1"/>
  <c r="H9" i="34"/>
  <c r="I8" i="34"/>
  <c r="J8" i="34" s="1"/>
  <c r="H8" i="34"/>
  <c r="I7" i="34"/>
  <c r="J7" i="34" s="1"/>
  <c r="M10" i="34" s="1"/>
  <c r="H7" i="34"/>
  <c r="K8" i="34" l="1"/>
  <c r="N11" i="34" s="1"/>
  <c r="K10" i="34"/>
  <c r="J11" i="34"/>
  <c r="K9" i="34"/>
  <c r="N12" i="34" s="1"/>
  <c r="K7" i="34"/>
  <c r="N10" i="34" s="1"/>
  <c r="D12" i="2" l="1"/>
  <c r="I16" i="33"/>
  <c r="M11" i="34"/>
  <c r="M12" i="34"/>
  <c r="D12" i="1" l="1"/>
  <c r="E16" i="33"/>
  <c r="C23" i="33"/>
  <c r="C22" i="33" l="1"/>
  <c r="K8" i="33"/>
  <c r="C21" i="33" s="1"/>
  <c r="C24" i="33" s="1"/>
  <c r="C17" i="33" l="1"/>
  <c r="G14" i="15" l="1"/>
  <c r="G29" i="15" s="1"/>
  <c r="A7" i="33" l="1"/>
  <c r="C22" i="15" l="1"/>
  <c r="C23" i="15"/>
  <c r="C25" i="15"/>
  <c r="R14" i="15"/>
  <c r="R15" i="15" s="1"/>
  <c r="Q14" i="15"/>
  <c r="Q15" i="15" s="1"/>
  <c r="P15" i="15"/>
  <c r="O15" i="15"/>
  <c r="N15" i="15"/>
  <c r="M14" i="15"/>
  <c r="M15" i="15" s="1"/>
  <c r="L14" i="15"/>
  <c r="L15" i="15" s="1"/>
  <c r="C21" i="15" l="1"/>
  <c r="G25" i="15"/>
  <c r="I17" i="33" l="1"/>
  <c r="E17" i="33"/>
  <c r="G17" i="33"/>
  <c r="K14" i="15" l="1"/>
  <c r="K15" i="15" s="1"/>
  <c r="J14" i="15"/>
  <c r="J15" i="15" s="1"/>
  <c r="I14" i="15"/>
  <c r="I15" i="15" s="1"/>
  <c r="H14" i="15"/>
  <c r="H15" i="15" s="1"/>
  <c r="G15" i="15"/>
  <c r="A7" i="2" l="1"/>
  <c r="H21" i="15" l="1"/>
  <c r="H22" i="15"/>
  <c r="H23" i="15"/>
  <c r="C15" i="15"/>
  <c r="C24" i="15" l="1"/>
  <c r="C26" i="15" s="1"/>
  <c r="C15" i="3"/>
  <c r="G24" i="15" l="1"/>
  <c r="H24" i="15" s="1"/>
  <c r="A5" i="3" l="1"/>
  <c r="A6" i="2" l="1"/>
  <c r="G26" i="15" l="1"/>
  <c r="H25" i="15"/>
  <c r="K25" i="15" s="1"/>
  <c r="J20" i="15" l="1"/>
  <c r="J22" i="15" s="1"/>
  <c r="I20" i="15"/>
  <c r="I21" i="15" s="1"/>
  <c r="I23" i="15" l="1"/>
  <c r="K22" i="15"/>
  <c r="D19" i="3" s="1"/>
  <c r="J23" i="15"/>
  <c r="J24" i="15" s="1"/>
  <c r="J26" i="15" s="1"/>
  <c r="I24" i="15" l="1"/>
  <c r="I26" i="15" s="1"/>
  <c r="K23" i="15"/>
  <c r="E18" i="33" l="1"/>
  <c r="C16" i="3" l="1"/>
  <c r="D15" i="3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C17" i="3" l="1"/>
  <c r="D16" i="3"/>
  <c r="D17" i="3" s="1"/>
  <c r="D21" i="3" s="1"/>
  <c r="B17" i="3"/>
  <c r="C12" i="2" l="1"/>
  <c r="G16" i="33"/>
  <c r="G18" i="33" s="1"/>
  <c r="C14" i="2" s="1"/>
  <c r="I18" i="33" l="1"/>
  <c r="D14" i="2" l="1"/>
  <c r="E12" i="2"/>
  <c r="C15" i="2" l="1"/>
  <c r="E14" i="2"/>
  <c r="E15" i="2" s="1"/>
  <c r="D15" i="2"/>
  <c r="E17" i="2" l="1"/>
  <c r="E19" i="2" l="1"/>
  <c r="C29" i="15"/>
  <c r="H26" i="15"/>
  <c r="K21" i="15"/>
  <c r="K24" i="15" l="1"/>
  <c r="K26" i="15" s="1"/>
  <c r="C19" i="3"/>
  <c r="C21" i="3" s="1"/>
  <c r="B19" i="3" l="1"/>
  <c r="D8" i="36" s="1"/>
  <c r="F8" i="36" l="1"/>
  <c r="F12" i="36" s="1"/>
  <c r="D12" i="36"/>
  <c r="E64" i="36" s="1"/>
  <c r="B21" i="3"/>
  <c r="C12" i="1"/>
  <c r="C16" i="33"/>
  <c r="C18" i="33" s="1"/>
  <c r="C14" i="1" s="1"/>
  <c r="D14" i="1" l="1"/>
  <c r="D15" i="1" s="1"/>
  <c r="C15" i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<sst xmlns="http://schemas.openxmlformats.org/spreadsheetml/2006/main" count="392" uniqueCount="201">
  <si>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</si>
  <si>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</si>
  <si>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</si>
  <si>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</si>
  <si>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</si>
  <si>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</si>
  <si>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</si>
  <si>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</si>
  <si>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</si>
  <si>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</si>
  <si>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</si>
  <si>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</si>
  <si>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</si>
  <si>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</si>
  <si>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</si>
  <si>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</si>
  <si>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Total</t>
  </si>
  <si>
    <t>(b)</t>
  </si>
  <si>
    <t>(d)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</si>
  <si>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</si>
  <si>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</si>
  <si>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</si>
  <si>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</si>
  <si>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</si>
  <si>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</si>
  <si>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</si>
  <si>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</si>
  <si>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</si>
  <si>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</si>
  <si>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</si>
  <si>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</si>
  <si>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</si>
  <si>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</si>
  <si>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</si>
  <si>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</si>
  <si>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</si>
  <si>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</si>
  <si>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</si>
  <si>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</si>
  <si>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</si>
  <si>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</si>
  <si>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</si>
  <si>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</si>
  <si>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</si>
  <si>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</si>
  <si>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</si>
  <si>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</si>
  <si>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</si>
  <si>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</si>
  <si>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</si>
  <si>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</si>
  <si>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</si>
  <si>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</si>
  <si>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</si>
  <si>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</si>
  <si>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</si>
  <si>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</si>
  <si>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</si>
  <si>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</si>
  <si>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</si>
  <si>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</si>
  <si>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</si>
  <si>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</si>
  <si>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</si>
  <si>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</si>
  <si>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</si>
  <si>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</si>
  <si>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</si>
  <si>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</si>
  <si>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</si>
  <si>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</si>
  <si>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</si>
  <si>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</si>
  <si>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</si>
  <si>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</si>
  <si>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</si>
  <si>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</si>
  <si>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</si>
  <si>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</si>
  <si>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</si>
  <si>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</si>
  <si>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</si>
  <si>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</si>
  <si>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</si>
  <si>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</si>
  <si>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</si>
  <si>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</si>
  <si>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</si>
  <si>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</si>
  <si>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</si>
  <si>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</si>
  <si>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</si>
  <si>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</si>
  <si>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</si>
  <si>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</si>
  <si>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</si>
  <si>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</si>
  <si>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</si>
  <si>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</si>
  <si>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</si>
  <si>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</si>
  <si>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</si>
  <si>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</si>
  <si>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</si>
  <si>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</si>
  <si>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</si>
  <si>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</si>
  <si>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</si>
  <si>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</si>
  <si>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</si>
  <si>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</si>
  <si>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</si>
  <si>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</si>
  <si>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</si>
  <si>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</si>
  <si>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</si>
  <si>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</si>
  <si>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</si>
  <si>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NEXT YEAR IT WILL CHANGE!!!  See email in the support folder</t>
  </si>
  <si>
    <t>Total Incentives</t>
  </si>
  <si>
    <t>PLNG</t>
  </si>
  <si>
    <t>(c)</t>
  </si>
  <si>
    <t>Removed per email below</t>
  </si>
  <si>
    <t>4 Year Average</t>
  </si>
  <si>
    <t>Payout</t>
  </si>
  <si>
    <t>O&amp;M Ratio</t>
  </si>
  <si>
    <t>E Alloc</t>
  </si>
  <si>
    <t>G Alloc</t>
  </si>
  <si>
    <t>Capital</t>
  </si>
  <si>
    <t>(g) = (f) x ( 1 - (c) )</t>
  </si>
  <si>
    <t>(h) = (f) x (c)</t>
  </si>
  <si>
    <t>(i) = (h) x (d)</t>
  </si>
  <si>
    <t>(j) = (h) x (e)</t>
  </si>
  <si>
    <t>(l)</t>
  </si>
  <si>
    <t>92006494 ; 41710062</t>
  </si>
  <si>
    <t>No.</t>
  </si>
  <si>
    <t>Account/CE</t>
  </si>
  <si>
    <t>Order</t>
  </si>
  <si>
    <t>DR</t>
  </si>
  <si>
    <t>CR</t>
  </si>
  <si>
    <t xml:space="preserve">FERC Only? </t>
  </si>
  <si>
    <t>FERC IMPACT</t>
  </si>
  <si>
    <t xml:space="preserve">TEAM(s) </t>
  </si>
  <si>
    <t xml:space="preserve">CCA liability </t>
  </si>
  <si>
    <t>YES</t>
  </si>
  <si>
    <t>IS, PG 320 and 326</t>
  </si>
  <si>
    <t>FR and EDA</t>
  </si>
  <si>
    <t>NO</t>
  </si>
  <si>
    <t>BS and PG 228</t>
  </si>
  <si>
    <t>BS and PG 278</t>
  </si>
  <si>
    <t>FR and GA</t>
  </si>
  <si>
    <t xml:space="preserve">IS </t>
  </si>
  <si>
    <t>FR</t>
  </si>
  <si>
    <t>Beaver Creek CWIP - FU</t>
  </si>
  <si>
    <t>No BS; PG 200, 214, and 216</t>
  </si>
  <si>
    <t>PA</t>
  </si>
  <si>
    <t>AMR reclassification</t>
  </si>
  <si>
    <t>BS, PG 200 and 204</t>
  </si>
  <si>
    <t>FR and PA</t>
  </si>
  <si>
    <t>BS and PG 232</t>
  </si>
  <si>
    <t>BS, PG 200, and 219</t>
  </si>
  <si>
    <t>PE FV Adj - NO FERC IMPACT</t>
  </si>
  <si>
    <t>NA</t>
  </si>
  <si>
    <t>NG unbilled - CCA</t>
  </si>
  <si>
    <t>BS</t>
  </si>
  <si>
    <t>IS</t>
  </si>
  <si>
    <t>IS / PG 300 (form 2)</t>
  </si>
  <si>
    <t>REV</t>
  </si>
  <si>
    <t>Pension FV Adjustment</t>
  </si>
  <si>
    <t>BS and AOCI</t>
  </si>
  <si>
    <t xml:space="preserve">STI increase </t>
  </si>
  <si>
    <t>Pg 320</t>
  </si>
  <si>
    <t>Pg 321</t>
  </si>
  <si>
    <t>Pg 322</t>
  </si>
  <si>
    <t>Pg 323</t>
  </si>
  <si>
    <t>Pg 324</t>
  </si>
  <si>
    <t>LTIP increase</t>
  </si>
  <si>
    <t>BS; PG 269</t>
  </si>
  <si>
    <t>BS; PG 234</t>
  </si>
  <si>
    <t>FR and TAX</t>
  </si>
  <si>
    <t>CEO Bonus</t>
  </si>
  <si>
    <t>Capital Manual Clearing</t>
  </si>
  <si>
    <t>Non-Utility Manual Clearing</t>
  </si>
  <si>
    <t>Jackson Prarie</t>
  </si>
  <si>
    <t>O&amp;M Manual Clearing</t>
  </si>
  <si>
    <t>System Clearing</t>
  </si>
  <si>
    <t>Allocation Percentage</t>
  </si>
  <si>
    <t>Jackson Prarie Split</t>
  </si>
  <si>
    <t>FOR THE TWELVE MONTHS ENDED DECEMBER 31, 2024</t>
  </si>
  <si>
    <t xml:space="preserve">  Date:                     02/25/2025</t>
  </si>
  <si>
    <t>2023 Topside Adjustment</t>
  </si>
  <si>
    <t>2024 Topside Adjustment</t>
  </si>
  <si>
    <t xml:space="preserve">2024 Incentive Pay Overhead Analysis  </t>
  </si>
  <si>
    <t>2023 Topside Enrty</t>
  </si>
  <si>
    <t>2024 Topside Enrty</t>
  </si>
  <si>
    <t>Add 2024 Topside Entry booked in February 2025</t>
  </si>
  <si>
    <t>Remove Dec 2023 related true up booked in February 2024</t>
  </si>
  <si>
    <t>Total 12 ME 12/2024</t>
  </si>
  <si>
    <t>ADJUSTED 12 Months</t>
  </si>
  <si>
    <t xml:space="preserve">&lt;= 2024 Actual Incentive </t>
  </si>
  <si>
    <t>Total 12ME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</si>
</sst>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mmmm\ d\,\ yyyy"/>
    <numFmt numFmtId="169" formatCode="0.0%"/>
    <numFmt numFmtId="170" formatCode="mmmm\,\ yyyy"/>
    <numFmt numFmtId="171" formatCode="#,##0.00_-;#,##0.00\-;&quot; &quot;"/>
    <numFmt numFmtId="172" formatCode="#,##0_-;#,##0\-;&quot; &quot;"/>
    <numFmt numFmtId="173" formatCode="0.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2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0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0" fontId="9" fillId="0" borderId="0" xfId="0" applyFont="1" applyFill="1" applyBorder="1"/>
    <xf numFmtId="0" fontId="0" fillId="0" borderId="0" xfId="0" applyFill="1"/>
    <xf numFmtId="0" fontId="0" fillId="0" borderId="14" xfId="0" applyFill="1" applyBorder="1"/>
    <xf numFmtId="0" fontId="10" fillId="0" borderId="14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7" fontId="8" fillId="0" borderId="0" xfId="0" applyNumberFormat="1" applyFont="1"/>
    <xf numFmtId="167" fontId="12" fillId="0" borderId="0" xfId="0" applyNumberFormat="1" applyFont="1" applyFill="1"/>
    <xf numFmtId="169" fontId="8" fillId="0" borderId="0" xfId="0" applyNumberFormat="1" applyFont="1" applyFill="1"/>
    <xf numFmtId="169" fontId="8" fillId="0" borderId="0" xfId="0" applyNumberFormat="1" applyFont="1" applyFill="1" applyBorder="1"/>
    <xf numFmtId="10" fontId="8" fillId="0" borderId="0" xfId="0" applyNumberFormat="1" applyFont="1"/>
    <xf numFmtId="16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8" fillId="0" borderId="0" xfId="0" applyFont="1" applyFill="1"/>
    <xf numFmtId="0" fontId="8" fillId="0" borderId="0" xfId="0" applyFont="1" applyFill="1" applyBorder="1"/>
    <xf numFmtId="0" fontId="8" fillId="0" borderId="0" xfId="0" applyFont="1"/>
    <xf numFmtId="168" fontId="14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169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1" fontId="0" fillId="0" borderId="0" xfId="0" applyNumberFormat="1" applyFill="1" applyBorder="1"/>
    <xf numFmtId="0" fontId="0" fillId="0" borderId="0" xfId="0" applyFill="1" applyBorder="1"/>
    <xf numFmtId="0" fontId="21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1" fillId="0" borderId="11" xfId="0" applyNumberFormat="1" applyFont="1" applyFill="1" applyBorder="1" applyAlignment="1">
      <alignment horizontal="left"/>
    </xf>
    <xf numFmtId="0" fontId="0" fillId="0" borderId="13" xfId="0" applyFill="1" applyBorder="1"/>
    <xf numFmtId="0" fontId="0" fillId="0" borderId="15" xfId="0" applyFill="1" applyBorder="1"/>
    <xf numFmtId="0" fontId="0" fillId="0" borderId="11" xfId="0" applyFill="1" applyBorder="1"/>
    <xf numFmtId="0" fontId="3" fillId="0" borderId="14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64" fontId="10" fillId="0" borderId="8" xfId="0" applyNumberFormat="1" applyFont="1" applyFill="1" applyBorder="1"/>
    <xf numFmtId="0" fontId="0" fillId="0" borderId="1" xfId="0" applyFill="1" applyBorder="1"/>
    <xf numFmtId="0" fontId="0" fillId="0" borderId="18" xfId="0" applyFill="1" applyBorder="1"/>
    <xf numFmtId="0" fontId="10" fillId="0" borderId="4" xfId="0" applyFont="1" applyFill="1" applyBorder="1" applyAlignment="1">
      <alignment horizontal="center"/>
    </xf>
    <xf numFmtId="0" fontId="0" fillId="0" borderId="4" xfId="0" applyFill="1" applyBorder="1"/>
    <xf numFmtId="0" fontId="10" fillId="0" borderId="7" xfId="0" applyFont="1" applyFill="1" applyBorder="1" applyAlignment="1">
      <alignment horizontal="centerContinuous"/>
    </xf>
    <xf numFmtId="0" fontId="10" fillId="0" borderId="12" xfId="0" applyFont="1" applyFill="1" applyBorder="1" applyAlignment="1">
      <alignment horizontal="centerContinuous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17" fontId="11" fillId="0" borderId="2" xfId="0" applyNumberFormat="1" applyFont="1" applyFill="1" applyBorder="1" applyAlignment="1">
      <alignment horizontal="center"/>
    </xf>
    <xf numFmtId="43" fontId="3" fillId="0" borderId="8" xfId="0" applyNumberFormat="1" applyFont="1" applyFill="1" applyBorder="1"/>
    <xf numFmtId="10" fontId="10" fillId="0" borderId="1" xfId="0" applyNumberFormat="1" applyFont="1" applyFill="1" applyBorder="1" applyAlignment="1">
      <alignment horizontal="center"/>
    </xf>
    <xf numFmtId="0" fontId="10" fillId="0" borderId="5" xfId="0" applyFont="1" applyFill="1" applyBorder="1"/>
    <xf numFmtId="164" fontId="10" fillId="0" borderId="0" xfId="0" applyNumberFormat="1" applyFont="1" applyFill="1" applyBorder="1"/>
    <xf numFmtId="164" fontId="10" fillId="0" borderId="14" xfId="0" applyNumberFormat="1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13" xfId="0" applyNumberFormat="1" applyFont="1" applyFill="1" applyBorder="1"/>
    <xf numFmtId="164" fontId="10" fillId="0" borderId="17" xfId="0" applyNumberFormat="1" applyFont="1" applyFill="1" applyBorder="1"/>
    <xf numFmtId="164" fontId="10" fillId="0" borderId="20" xfId="0" applyNumberFormat="1" applyFont="1" applyFill="1" applyBorder="1"/>
    <xf numFmtId="164" fontId="10" fillId="0" borderId="19" xfId="0" applyNumberFormat="1" applyFont="1" applyFill="1" applyBorder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2" fontId="8" fillId="0" borderId="0" xfId="0" applyNumberFormat="1" applyFont="1"/>
    <xf numFmtId="0" fontId="22" fillId="0" borderId="0" xfId="0" applyFont="1"/>
    <xf numFmtId="0" fontId="22" fillId="0" borderId="0" xfId="0" applyFont="1" applyFill="1"/>
    <xf numFmtId="0" fontId="19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/>
    <xf numFmtId="0" fontId="19" fillId="0" borderId="1" xfId="0" applyFont="1" applyFill="1" applyBorder="1" applyAlignment="1">
      <alignment horizontal="centerContinuous"/>
    </xf>
    <xf numFmtId="42" fontId="22" fillId="0" borderId="0" xfId="0" applyNumberFormat="1" applyFont="1" applyFill="1"/>
    <xf numFmtId="167" fontId="22" fillId="0" borderId="0" xfId="0" applyNumberFormat="1" applyFont="1" applyFill="1"/>
    <xf numFmtId="0" fontId="1" fillId="0" borderId="0" xfId="0" applyFont="1" applyFill="1" applyBorder="1"/>
    <xf numFmtId="10" fontId="16" fillId="0" borderId="0" xfId="0" applyNumberFormat="1" applyFont="1" applyFill="1"/>
    <xf numFmtId="164" fontId="16" fillId="0" borderId="8" xfId="0" applyNumberFormat="1" applyFont="1" applyFill="1" applyBorder="1"/>
    <xf numFmtId="0" fontId="22" fillId="0" borderId="0" xfId="0" applyFont="1" applyBorder="1"/>
    <xf numFmtId="42" fontId="22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10" fontId="22" fillId="0" borderId="0" xfId="0" applyNumberFormat="1" applyFont="1" applyFill="1"/>
    <xf numFmtId="0" fontId="8" fillId="0" borderId="0" xfId="3" applyFont="1" applyFill="1"/>
    <xf numFmtId="0" fontId="13" fillId="0" borderId="0" xfId="3" applyFont="1" applyFill="1" applyAlignment="1">
      <alignment horizontal="center"/>
    </xf>
    <xf numFmtId="0" fontId="13" fillId="0" borderId="0" xfId="3" applyFont="1" applyFill="1" applyAlignment="1">
      <alignment horizontal="center" vertic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3" fillId="0" borderId="0" xfId="0" applyFont="1" applyFill="1" applyBorder="1"/>
    <xf numFmtId="0" fontId="3" fillId="0" borderId="0" xfId="0" applyFont="1" applyFill="1"/>
    <xf numFmtId="164" fontId="22" fillId="0" borderId="2" xfId="0" applyNumberFormat="1" applyFont="1" applyFill="1" applyBorder="1"/>
    <xf numFmtId="43" fontId="0" fillId="0" borderId="2" xfId="0" applyNumberFormat="1" applyFill="1" applyBorder="1"/>
    <xf numFmtId="43" fontId="0" fillId="0" borderId="16" xfId="0" applyNumberFormat="1" applyFill="1" applyBorder="1"/>
    <xf numFmtId="164" fontId="22" fillId="0" borderId="16" xfId="0" applyNumberFormat="1" applyFont="1" applyFill="1" applyBorder="1"/>
    <xf numFmtId="0" fontId="15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7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19" fillId="0" borderId="0" xfId="0" applyFont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19" fillId="0" borderId="9" xfId="0" applyFont="1" applyFill="1" applyBorder="1" applyAlignment="1">
      <alignment horizontal="centerContinuous"/>
    </xf>
    <xf numFmtId="0" fontId="19" fillId="0" borderId="6" xfId="0" applyFont="1" applyFill="1" applyBorder="1" applyAlignment="1">
      <alignment horizontal="centerContinuous"/>
    </xf>
    <xf numFmtId="0" fontId="19" fillId="0" borderId="10" xfId="0" applyFont="1" applyFill="1" applyBorder="1" applyAlignment="1">
      <alignment horizontal="centerContinuous"/>
    </xf>
    <xf numFmtId="10" fontId="22" fillId="0" borderId="1" xfId="0" applyNumberFormat="1" applyFont="1" applyFill="1" applyBorder="1"/>
    <xf numFmtId="43" fontId="22" fillId="0" borderId="4" xfId="0" applyNumberFormat="1" applyFont="1" applyFill="1" applyBorder="1"/>
    <xf numFmtId="43" fontId="22" fillId="0" borderId="0" xfId="0" applyNumberFormat="1" applyFont="1" applyFill="1" applyBorder="1"/>
    <xf numFmtId="43" fontId="22" fillId="0" borderId="0" xfId="0" applyNumberFormat="1" applyFont="1" applyFill="1"/>
    <xf numFmtId="0" fontId="25" fillId="0" borderId="0" xfId="4" applyFill="1"/>
    <xf numFmtId="43" fontId="0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69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43" fontId="8" fillId="0" borderId="0" xfId="6" applyNumberFormat="1" applyFont="1" applyFill="1"/>
    <xf numFmtId="43" fontId="17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22" fillId="0" borderId="0" xfId="1" applyNumberFormat="1" applyFont="1"/>
    <xf numFmtId="10" fontId="22" fillId="0" borderId="0" xfId="1" applyNumberFormat="1" applyFont="1" applyFill="1"/>
    <xf numFmtId="173" fontId="22" fillId="0" borderId="0" xfId="1" applyNumberFormat="1" applyFont="1"/>
    <xf numFmtId="173" fontId="22" fillId="0" borderId="0" xfId="1" applyNumberFormat="1" applyFont="1" applyFill="1"/>
    <xf numFmtId="0" fontId="8" fillId="0" borderId="21" xfId="0" applyFont="1" applyFill="1" applyBorder="1"/>
    <xf numFmtId="42" fontId="0" fillId="0" borderId="0" xfId="0" applyNumberFormat="1" applyFill="1"/>
    <xf numFmtId="0" fontId="9" fillId="0" borderId="14" xfId="0" applyFont="1" applyFill="1" applyBorder="1"/>
    <xf numFmtId="0" fontId="9" fillId="0" borderId="1" xfId="0" applyFont="1" applyFill="1" applyBorder="1"/>
    <xf numFmtId="0" fontId="26" fillId="0" borderId="0" xfId="0" applyFont="1" applyFill="1"/>
    <xf numFmtId="44" fontId="26" fillId="0" borderId="0" xfId="0" applyNumberFormat="1" applyFont="1" applyFill="1"/>
    <xf numFmtId="43" fontId="0" fillId="0" borderId="0" xfId="0" applyNumberFormat="1" applyFill="1"/>
    <xf numFmtId="43" fontId="9" fillId="0" borderId="15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41" fontId="0" fillId="0" borderId="0" xfId="0" applyNumberFormat="1"/>
    <xf numFmtId="0" fontId="8" fillId="0" borderId="0" xfId="3" quotePrefix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2" fontId="0" fillId="0" borderId="0" xfId="2" applyNumberFormat="1" applyFont="1"/>
    <xf numFmtId="0" fontId="28" fillId="0" borderId="0" xfId="0" applyFont="1"/>
    <xf numFmtId="170" fontId="8" fillId="0" borderId="0" xfId="3" applyNumberFormat="1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44" fontId="8" fillId="0" borderId="8" xfId="6" applyNumberFormat="1" applyFont="1" applyFill="1" applyBorder="1"/>
    <xf numFmtId="44" fontId="8" fillId="0" borderId="0" xfId="6" applyNumberFormat="1" applyFont="1" applyFill="1" applyBorder="1"/>
    <xf numFmtId="44" fontId="8" fillId="0" borderId="0" xfId="6" applyNumberFormat="1" applyFont="1" applyFill="1" applyBorder="1" applyAlignment="1">
      <alignment horizontal="center"/>
    </xf>
    <xf numFmtId="44" fontId="8" fillId="0" borderId="0" xfId="6" applyNumberFormat="1" applyFont="1" applyFill="1"/>
    <xf numFmtId="14" fontId="0" fillId="0" borderId="0" xfId="0" applyNumberFormat="1" applyFill="1"/>
    <xf numFmtId="0" fontId="3" fillId="0" borderId="1" xfId="0" applyFont="1" applyBorder="1"/>
    <xf numFmtId="0" fontId="0" fillId="0" borderId="13" xfId="0" applyBorder="1"/>
    <xf numFmtId="0" fontId="0" fillId="0" borderId="4" xfId="0" applyBorder="1"/>
    <xf numFmtId="43" fontId="0" fillId="0" borderId="4" xfId="8" applyFont="1" applyBorder="1"/>
    <xf numFmtId="0" fontId="0" fillId="0" borderId="17" xfId="0" applyBorder="1"/>
    <xf numFmtId="0" fontId="0" fillId="0" borderId="14" xfId="0" applyBorder="1"/>
    <xf numFmtId="0" fontId="0" fillId="0" borderId="0" xfId="0" applyBorder="1"/>
    <xf numFmtId="43" fontId="0" fillId="0" borderId="0" xfId="8" applyFont="1" applyBorder="1"/>
    <xf numFmtId="0" fontId="0" fillId="0" borderId="5" xfId="0" applyBorder="1"/>
    <xf numFmtId="0" fontId="0" fillId="0" borderId="15" xfId="0" applyBorder="1"/>
    <xf numFmtId="43" fontId="0" fillId="0" borderId="1" xfId="8" applyFont="1" applyBorder="1"/>
    <xf numFmtId="0" fontId="0" fillId="0" borderId="18" xfId="0" applyBorder="1"/>
    <xf numFmtId="43" fontId="0" fillId="0" borderId="0" xfId="8" applyFont="1"/>
    <xf numFmtId="0" fontId="0" fillId="0" borderId="11" xfId="0" applyBorder="1"/>
    <xf numFmtId="0" fontId="0" fillId="0" borderId="7" xfId="0" applyBorder="1"/>
    <xf numFmtId="43" fontId="0" fillId="0" borderId="7" xfId="8" applyFont="1" applyBorder="1"/>
    <xf numFmtId="0" fontId="0" fillId="0" borderId="12" xfId="0" applyBorder="1"/>
    <xf numFmtId="0" fontId="0" fillId="2" borderId="0" xfId="0" applyFill="1" applyAlignment="1">
      <alignment horizontal="center" vertical="center"/>
    </xf>
    <xf numFmtId="43" fontId="8" fillId="2" borderId="0" xfId="6" applyNumberFormat="1" applyFont="1" applyFill="1" applyAlignment="1"/>
    <xf numFmtId="10" fontId="22" fillId="0" borderId="0" xfId="0" applyNumberFormat="1" applyFont="1" applyFill="1" applyAlignment="1">
      <alignment horizontal="center"/>
    </xf>
    <xf numFmtId="4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10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70" fontId="8" fillId="0" borderId="0" xfId="3" applyNumberFormat="1" applyFont="1" applyFill="1" applyAlignment="1">
      <alignment horizontal="left" vertical="top"/>
    </xf>
    <xf numFmtId="170" fontId="8" fillId="3" borderId="0" xfId="3" applyNumberFormat="1" applyFont="1" applyFill="1" applyAlignment="1">
      <alignment horizontal="left" vertical="top"/>
    </xf>
    <xf numFmtId="169" fontId="8" fillId="0" borderId="0" xfId="7" applyNumberFormat="1" applyFont="1" applyFill="1" applyAlignment="1">
      <alignment horizontal="center" vertical="top"/>
    </xf>
    <xf numFmtId="43" fontId="8" fillId="0" borderId="0" xfId="3" applyNumberFormat="1" applyFont="1" applyFill="1" applyAlignment="1">
      <alignment vertical="top"/>
    </xf>
    <xf numFmtId="39" fontId="8" fillId="0" borderId="0" xfId="6" applyNumberFormat="1" applyFont="1" applyFill="1" applyAlignment="1">
      <alignment vertical="top"/>
    </xf>
    <xf numFmtId="43" fontId="8" fillId="0" borderId="0" xfId="6" applyNumberFormat="1" applyFont="1" applyFill="1" applyAlignment="1">
      <alignment horizontal="center" vertical="top"/>
    </xf>
    <xf numFmtId="0" fontId="0" fillId="0" borderId="0" xfId="0" applyFill="1" applyAlignment="1">
      <alignment vertical="top"/>
    </xf>
    <xf numFmtId="43" fontId="0" fillId="0" borderId="0" xfId="5" applyFont="1" applyFill="1" applyAlignment="1">
      <alignment vertical="top"/>
    </xf>
    <xf numFmtId="43" fontId="8" fillId="0" borderId="0" xfId="6" applyNumberFormat="1" applyFont="1" applyFill="1" applyAlignment="1">
      <alignment vertical="top"/>
    </xf>
    <xf numFmtId="169" fontId="8" fillId="3" borderId="0" xfId="7" applyNumberFormat="1" applyFont="1" applyFill="1" applyAlignment="1">
      <alignment horizontal="center" vertical="top"/>
    </xf>
    <xf numFmtId="0" fontId="0" fillId="3" borderId="0" xfId="0" applyFill="1" applyAlignment="1">
      <alignment vertical="top"/>
    </xf>
    <xf numFmtId="39" fontId="8" fillId="3" borderId="0" xfId="6" applyNumberFormat="1" applyFont="1" applyFill="1" applyAlignment="1">
      <alignment vertical="top"/>
    </xf>
    <xf numFmtId="43" fontId="8" fillId="3" borderId="0" xfId="6" applyNumberFormat="1" applyFont="1" applyFill="1" applyAlignment="1">
      <alignment vertical="top"/>
    </xf>
    <xf numFmtId="0" fontId="8" fillId="0" borderId="0" xfId="3" quotePrefix="1" applyFont="1" applyFill="1" applyAlignment="1">
      <alignment horizontal="center" vertical="top"/>
    </xf>
    <xf numFmtId="0" fontId="13" fillId="0" borderId="0" xfId="3" applyFont="1" applyFill="1" applyAlignment="1">
      <alignment horizontal="center" vertical="top"/>
    </xf>
    <xf numFmtId="43" fontId="8" fillId="0" borderId="0" xfId="5" applyFont="1" applyFill="1" applyAlignment="1">
      <alignment horizontal="center" vertical="top"/>
    </xf>
    <xf numFmtId="43" fontId="8" fillId="3" borderId="0" xfId="3" applyNumberFormat="1" applyFont="1" applyFill="1" applyAlignment="1">
      <alignment vertical="top"/>
    </xf>
    <xf numFmtId="0" fontId="8" fillId="0" borderId="0" xfId="3" applyFont="1" applyFill="1" applyAlignment="1">
      <alignment horizontal="center" vertical="top"/>
    </xf>
    <xf numFmtId="43" fontId="8" fillId="0" borderId="0" xfId="5" applyFont="1" applyFill="1" applyAlignment="1">
      <alignment vertical="top"/>
    </xf>
    <xf numFmtId="10" fontId="8" fillId="0" borderId="0" xfId="7" applyNumberFormat="1" applyFont="1" applyFill="1" applyAlignment="1">
      <alignment vertical="top"/>
    </xf>
    <xf numFmtId="0" fontId="8" fillId="0" borderId="0" xfId="7" applyNumberFormat="1" applyFont="1" applyFill="1" applyAlignment="1">
      <alignment vertical="top"/>
    </xf>
    <xf numFmtId="9" fontId="8" fillId="0" borderId="0" xfId="7" applyFont="1" applyFill="1" applyAlignment="1">
      <alignment vertical="top"/>
    </xf>
    <xf numFmtId="43" fontId="0" fillId="0" borderId="0" xfId="0" applyNumberFormat="1" applyFill="1" applyAlignment="1">
      <alignment vertical="top"/>
    </xf>
    <xf numFmtId="10" fontId="8" fillId="0" borderId="0" xfId="7" applyNumberFormat="1" applyFont="1" applyFill="1" applyAlignment="1">
      <alignment horizontal="right" vertical="top"/>
    </xf>
    <xf numFmtId="43" fontId="8" fillId="3" borderId="0" xfId="5" applyFont="1" applyFill="1" applyAlignment="1">
      <alignment vertical="top"/>
    </xf>
    <xf numFmtId="10" fontId="8" fillId="3" borderId="0" xfId="7" applyNumberFormat="1" applyFont="1" applyFill="1" applyAlignment="1">
      <alignment horizontal="right" vertical="top"/>
    </xf>
    <xf numFmtId="43" fontId="3" fillId="0" borderId="2" xfId="0" applyNumberFormat="1" applyFont="1" applyFill="1" applyBorder="1"/>
    <xf numFmtId="0" fontId="0" fillId="0" borderId="2" xfId="0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wrapText="1"/>
    </xf>
    <xf numFmtId="44" fontId="0" fillId="0" borderId="0" xfId="0" applyNumberFormat="1"/>
    <xf numFmtId="0" fontId="3" fillId="0" borderId="0" xfId="0" applyFont="1" applyBorder="1"/>
    <xf numFmtId="10" fontId="3" fillId="0" borderId="0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10" fontId="0" fillId="0" borderId="0" xfId="1" applyNumberFormat="1" applyFont="1" applyFill="1" applyAlignment="1">
      <alignment horizontal="center"/>
    </xf>
    <xf numFmtId="42" fontId="0" fillId="0" borderId="0" xfId="2" applyNumberFormat="1" applyFont="1" applyFill="1"/>
    <xf numFmtId="41" fontId="0" fillId="0" borderId="0" xfId="0" applyNumberFormat="1" applyFill="1"/>
    <xf numFmtId="0" fontId="23" fillId="0" borderId="5" xfId="0" applyFont="1" applyFill="1" applyBorder="1" applyAlignment="1">
      <alignment horizontal="center" vertical="center"/>
    </xf>
    <xf numFmtId="0" fontId="23" fillId="0" borderId="18" xfId="0" applyFont="1" applyFill="1" applyBorder="1"/>
    <xf numFmtId="0" fontId="8" fillId="0" borderId="22" xfId="0" applyFont="1" applyFill="1" applyBorder="1"/>
    <xf numFmtId="164" fontId="19" fillId="0" borderId="2" xfId="0" applyNumberFormat="1" applyFont="1" applyFill="1" applyBorder="1"/>
    <xf numFmtId="164" fontId="20" fillId="0" borderId="0" xfId="0" applyNumberFormat="1" applyFont="1" applyFill="1"/>
    <xf numFmtId="43" fontId="0" fillId="0" borderId="0" xfId="8" applyFont="1" applyFill="1"/>
    <xf numFmtId="43" fontId="0" fillId="0" borderId="4" xfId="8" applyFont="1" applyFill="1" applyBorder="1"/>
    <xf numFmtId="43" fontId="0" fillId="0" borderId="1" xfId="8" applyFont="1" applyFill="1" applyBorder="1"/>
    <xf numFmtId="43" fontId="0" fillId="0" borderId="0" xfId="8" applyFont="1" applyFill="1" applyBorder="1"/>
  </cellXfs>
  <cellStyles count="9">
    <cellStyle name="Comma" xfId="8" builtinId="3"/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FF3300"/>
      <color rgb="FFCCFF99"/>
      <color rgb="FFFFCCCC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17</xdr:row>
      <xdr:rowOff>0</xdr:rowOff>
    </xdr:from>
    <xdr:to>
      <xdr:col>16</xdr:col>
      <xdr:colOff>494762</xdr:colOff>
      <xdr:row>30</xdr:row>
      <xdr:rowOff>96842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6060" y="3192780"/>
          <a:ext cx="4304762" cy="2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579120</xdr:colOff>
      <xdr:row>38</xdr:row>
      <xdr:rowOff>38100</xdr:rowOff>
    </xdr:from>
    <xdr:to>
      <xdr:col>8</xdr:col>
      <xdr:colOff>520048</xdr:colOff>
      <xdr:row>53</xdr:row>
      <xdr:rowOff>108758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" y="7101840"/>
          <a:ext cx="8201008" cy="2813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19</xdr:col>
      <xdr:colOff>114300</xdr:colOff>
      <xdr:row>14</xdr:row>
      <xdr:rowOff>47625</xdr:rowOff>
    </xdr:from>
    <xdr:to>
      <xdr:col>30</xdr:col>
      <xdr:colOff>161081</xdr:colOff>
      <xdr:row>19</xdr:row>
      <xdr:rowOff>133218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20475" y="2714625"/>
          <a:ext cx="6752381" cy="10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58706</xdr:colOff>
      <xdr:row>15</xdr:row>
      <xdr:rowOff>22860</xdr:rowOff>
    </xdr:from>
    <xdr:to>
      <xdr:col>19</xdr:col>
      <xdr:colOff>191575</xdr:colOff>
      <xdr:row>38</xdr:row>
      <xdr:rowOff>113624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5226" y="2766060"/>
          <a:ext cx="5291609" cy="43122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23">
          <cell r="E23">
            <v>0.58476068762370836</v>
          </cell>
        </row>
        <row r="40">
          <cell r="E40">
            <v>0.74580000000000002</v>
          </cell>
          <cell r="F40">
            <v>0.25419999999999998</v>
          </cell>
        </row>
        <row r="43">
          <cell r="G43">
            <v>0.45218731964206904</v>
          </cell>
        </row>
        <row r="44">
          <cell r="G44">
            <v>5.7190731601885359E-3</v>
          </cell>
        </row>
        <row r="45">
          <cell r="G45">
            <v>0.54209360719774247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6"/>
  <sheetViews>
    <sheetView tabSelected="1" zoomScale="85" zoomScaleNormal="85" workbookViewId="0">
      <selection activeCell="I19" sqref="I19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12.28515625" bestFit="1" customWidth="1"/>
    <col min="4" max="4" width="14.28515625" customWidth="1"/>
    <col min="5" max="5" width="13.5703125" bestFit="1" customWidth="1"/>
    <col min="6" max="6" width="13.5703125" style="96" customWidth="1"/>
  </cols>
  <sheetData>
    <row r="1" spans="1:6" x14ac:dyDescent="0.25">
      <c r="A1" s="4"/>
      <c r="B1" s="5"/>
      <c r="C1" s="5"/>
      <c r="D1" s="5"/>
      <c r="E1" s="6"/>
      <c r="F1" s="6"/>
    </row>
    <row r="2" spans="1:6" x14ac:dyDescent="0.25">
      <c r="A2" s="7"/>
      <c r="B2" s="7"/>
      <c r="C2" s="7"/>
      <c r="D2" s="7"/>
    </row>
    <row r="3" spans="1:6" x14ac:dyDescent="0.25">
      <c r="A3" s="7"/>
      <c r="B3" s="7"/>
      <c r="C3" s="7"/>
      <c r="D3" s="7"/>
      <c r="E3" s="8"/>
      <c r="F3" s="8"/>
    </row>
    <row r="4" spans="1:6" x14ac:dyDescent="0.25">
      <c r="A4" s="9" t="s">
        <v>0</v>
      </c>
      <c r="B4" s="10"/>
      <c r="C4" s="10"/>
      <c r="D4" s="10"/>
      <c r="E4" s="10"/>
      <c r="F4" s="10"/>
    </row>
    <row r="5" spans="1:6" s="29" customFormat="1" x14ac:dyDescent="0.25">
      <c r="A5" s="10" t="s">
        <v>1</v>
      </c>
      <c r="B5" s="10"/>
      <c r="C5" s="10"/>
      <c r="D5" s="10"/>
      <c r="E5" s="67"/>
      <c r="F5" s="67"/>
    </row>
    <row r="6" spans="1:6" s="29" customFormat="1" x14ac:dyDescent="0.25">
      <c r="A6" s="98" t="s">
        <v>188</v>
      </c>
      <c r="B6" s="99"/>
      <c r="C6" s="10"/>
      <c r="D6" s="10"/>
      <c r="E6" s="11"/>
      <c r="F6" s="11"/>
    </row>
    <row r="7" spans="1:6" x14ac:dyDescent="0.25">
      <c r="A7" s="12" t="s">
        <v>88</v>
      </c>
      <c r="B7" s="13"/>
      <c r="C7" s="10"/>
      <c r="D7" s="10"/>
      <c r="E7" s="11"/>
      <c r="F7" s="11"/>
    </row>
    <row r="8" spans="1:6" x14ac:dyDescent="0.25">
      <c r="A8" s="5"/>
      <c r="B8" s="14"/>
      <c r="C8" s="15"/>
      <c r="D8" s="5"/>
      <c r="E8" s="5"/>
      <c r="F8" s="5"/>
    </row>
    <row r="9" spans="1:6" x14ac:dyDescent="0.25">
      <c r="A9" s="16" t="s">
        <v>2</v>
      </c>
      <c r="B9" s="5"/>
      <c r="C9" s="18"/>
      <c r="D9" s="17"/>
      <c r="E9" s="18"/>
      <c r="F9" s="18"/>
    </row>
    <row r="10" spans="1:6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15">
        <v>1</v>
      </c>
      <c r="B12" s="22" t="s">
        <v>8</v>
      </c>
      <c r="C12" s="88">
        <f>'Incent &amp; Related PR Tax - TY'!C21</f>
        <v>12849505.436616018</v>
      </c>
      <c r="D12" s="88">
        <f>'4 Year Average Calc'!M12</f>
        <v>9814834.8231836054</v>
      </c>
      <c r="E12" s="88">
        <f>D12-C12</f>
        <v>-3034670.613432413</v>
      </c>
      <c r="F12" s="88"/>
    </row>
    <row r="13" spans="1:6" x14ac:dyDescent="0.25">
      <c r="A13" s="15">
        <f t="shared" ref="A13:A19" si="0">A12+1</f>
        <v>2</v>
      </c>
      <c r="B13" s="95"/>
      <c r="C13" s="88"/>
      <c r="D13" s="88"/>
      <c r="E13" s="88"/>
      <c r="F13" s="88"/>
    </row>
    <row r="14" spans="1:6" x14ac:dyDescent="0.25">
      <c r="A14" s="15">
        <f t="shared" si="0"/>
        <v>3</v>
      </c>
      <c r="B14" s="23" t="s">
        <v>9</v>
      </c>
      <c r="C14" s="90">
        <f>'PR Taxes'!C18</f>
        <v>1129471.527878548</v>
      </c>
      <c r="D14" s="90">
        <f>(D12/(C12/C14))</f>
        <v>862723.98095783894</v>
      </c>
      <c r="E14" s="90">
        <f>D14-C14</f>
        <v>-266747.54692070908</v>
      </c>
      <c r="F14" s="135"/>
    </row>
    <row r="15" spans="1:6" x14ac:dyDescent="0.25">
      <c r="A15" s="15">
        <f t="shared" si="0"/>
        <v>4</v>
      </c>
      <c r="B15" s="23" t="s">
        <v>10</v>
      </c>
      <c r="C15" s="91">
        <f>SUM(C12:C14)</f>
        <v>13978976.964494567</v>
      </c>
      <c r="D15" s="91">
        <f>SUM(D12:D14)</f>
        <v>10677558.804141445</v>
      </c>
      <c r="E15" s="91">
        <f>SUM(E12:E14)</f>
        <v>-3301418.1603531223</v>
      </c>
      <c r="F15" s="91"/>
    </row>
    <row r="16" spans="1:6" x14ac:dyDescent="0.25">
      <c r="A16" s="15">
        <f t="shared" si="0"/>
        <v>5</v>
      </c>
      <c r="B16" s="21"/>
      <c r="C16" s="92"/>
      <c r="D16" s="92"/>
      <c r="E16" s="92"/>
      <c r="F16" s="92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693297.81367415562</v>
      </c>
      <c r="F17" s="24"/>
    </row>
    <row r="18" spans="1:6" x14ac:dyDescent="0.25">
      <c r="A18" s="15">
        <f t="shared" si="0"/>
        <v>7</v>
      </c>
      <c r="B18" s="29"/>
      <c r="C18" s="29"/>
      <c r="D18" s="29"/>
      <c r="E18" s="29"/>
      <c r="F18" s="29"/>
    </row>
    <row r="19" spans="1:6" x14ac:dyDescent="0.25">
      <c r="A19" s="15">
        <f t="shared" si="0"/>
        <v>8</v>
      </c>
      <c r="B19" s="23" t="s">
        <v>12</v>
      </c>
      <c r="C19" s="26"/>
      <c r="D19" s="21"/>
      <c r="E19" s="93">
        <f>-(E15+E17)</f>
        <v>2608120.3466789667</v>
      </c>
      <c r="F19" s="136"/>
    </row>
    <row r="20" spans="1:6" x14ac:dyDescent="0.25">
      <c r="B20" s="29"/>
      <c r="C20" s="29"/>
      <c r="D20" s="29"/>
      <c r="E20" s="29"/>
      <c r="F20" s="29"/>
    </row>
    <row r="21" spans="1:6" x14ac:dyDescent="0.25">
      <c r="B21" s="29"/>
      <c r="C21" s="68"/>
      <c r="D21" s="68"/>
      <c r="E21" s="69"/>
      <c r="F21" s="69"/>
    </row>
    <row r="22" spans="1:6" x14ac:dyDescent="0.25">
      <c r="B22" s="29"/>
      <c r="C22" s="70"/>
      <c r="D22" s="29"/>
      <c r="E22" s="29"/>
      <c r="F22" s="29"/>
    </row>
    <row r="23" spans="1:6" x14ac:dyDescent="0.25">
      <c r="B23" s="29"/>
      <c r="C23" s="29"/>
      <c r="D23" s="29"/>
      <c r="E23" s="190"/>
      <c r="F23" s="29"/>
    </row>
    <row r="24" spans="1:6" x14ac:dyDescent="0.25">
      <c r="E24" s="34"/>
    </row>
    <row r="26" spans="1:6" x14ac:dyDescent="0.25">
      <c r="D26" s="65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9"/>
  <sheetViews>
    <sheetView workbookViewId="0">
      <selection activeCell="E31" sqref="E31"/>
    </sheetView>
  </sheetViews>
  <sheetFormatPr defaultRowHeight="15" x14ac:dyDescent="0.25"/>
  <cols>
    <col min="2" max="2" width="42.140625" customWidth="1"/>
    <col min="3" max="5" width="14.42578125" customWidth="1"/>
    <col min="6" max="6" width="11.28515625" bestFit="1" customWidth="1"/>
  </cols>
  <sheetData>
    <row r="1" spans="1:5" x14ac:dyDescent="0.25">
      <c r="A1" s="4"/>
      <c r="B1" s="5"/>
      <c r="C1" s="5"/>
      <c r="D1" s="5"/>
      <c r="E1" s="6"/>
    </row>
    <row r="2" spans="1:5" x14ac:dyDescent="0.25">
      <c r="A2" s="7"/>
      <c r="B2" s="7"/>
      <c r="C2" s="7"/>
    </row>
    <row r="3" spans="1:5" x14ac:dyDescent="0.25">
      <c r="A3" s="5"/>
      <c r="B3" s="5"/>
      <c r="C3" s="5"/>
      <c r="D3" s="29"/>
      <c r="E3" s="29"/>
    </row>
    <row r="4" spans="1:5" x14ac:dyDescent="0.25">
      <c r="A4" s="9" t="s">
        <v>0</v>
      </c>
      <c r="B4" s="10"/>
      <c r="C4" s="10"/>
      <c r="D4" s="10"/>
      <c r="E4" s="10"/>
    </row>
    <row r="5" spans="1:5" x14ac:dyDescent="0.25">
      <c r="A5" s="10" t="s">
        <v>13</v>
      </c>
      <c r="B5" s="10"/>
      <c r="C5" s="10"/>
      <c r="D5" s="10"/>
      <c r="E5" s="67"/>
    </row>
    <row r="6" spans="1:5" s="29" customFormat="1" x14ac:dyDescent="0.25">
      <c r="A6" s="10" t="str">
        <f>' Electric'!A6</f>
        <v>FOR THE TWELVE MONTHS ENDED DECEMBER 31, 2024</v>
      </c>
      <c r="B6" s="99"/>
      <c r="C6" s="10"/>
      <c r="D6" s="10"/>
      <c r="E6" s="11"/>
    </row>
    <row r="7" spans="1:5" x14ac:dyDescent="0.25">
      <c r="A7" s="10" t="str">
        <f>' Electric'!A7</f>
        <v>COMMISSION BASIS REPORT</v>
      </c>
      <c r="B7" s="10"/>
      <c r="C7" s="10"/>
      <c r="D7" s="10"/>
      <c r="E7" s="11"/>
    </row>
    <row r="8" spans="1:5" x14ac:dyDescent="0.25">
      <c r="A8" s="5"/>
      <c r="B8" s="21"/>
      <c r="C8" s="15"/>
      <c r="D8" s="5"/>
      <c r="E8" s="5"/>
    </row>
    <row r="9" spans="1:5" x14ac:dyDescent="0.25">
      <c r="A9" s="16" t="s">
        <v>2</v>
      </c>
      <c r="B9" s="5"/>
      <c r="C9" s="18"/>
      <c r="D9" s="17"/>
      <c r="E9" s="18"/>
    </row>
    <row r="10" spans="1:5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25">
      <c r="A11" s="21"/>
      <c r="B11" s="21"/>
      <c r="C11" s="21"/>
      <c r="D11" s="21"/>
      <c r="E11" s="21"/>
    </row>
    <row r="12" spans="1:5" x14ac:dyDescent="0.25">
      <c r="A12" s="15">
        <v>1</v>
      </c>
      <c r="B12" s="22" t="s">
        <v>8</v>
      </c>
      <c r="C12" s="88">
        <f>'Incent &amp; Related PR Tax - TY'!D21</f>
        <v>4369592.8750117887</v>
      </c>
      <c r="D12" s="88">
        <f>'4 Year Average Calc'!N12</f>
        <v>3587546.2098816186</v>
      </c>
      <c r="E12" s="88">
        <f>D12-C12</f>
        <v>-782046.66513017006</v>
      </c>
    </row>
    <row r="13" spans="1:5" x14ac:dyDescent="0.25">
      <c r="A13" s="15">
        <f t="shared" ref="A13:A19" si="0">A12+1</f>
        <v>2</v>
      </c>
      <c r="B13" s="21"/>
      <c r="C13" s="89"/>
      <c r="D13" s="89"/>
      <c r="E13" s="89"/>
    </row>
    <row r="14" spans="1:5" x14ac:dyDescent="0.25">
      <c r="A14" s="15">
        <f t="shared" si="0"/>
        <v>3</v>
      </c>
      <c r="B14" s="23" t="s">
        <v>9</v>
      </c>
      <c r="C14" s="90">
        <f>'PR Taxes'!G18</f>
        <v>384087.21371353627</v>
      </c>
      <c r="D14" s="90">
        <f>(D12/(C12/C14))</f>
        <v>315345.31184859428</v>
      </c>
      <c r="E14" s="90">
        <f>D14-C14</f>
        <v>-68741.901864941989</v>
      </c>
    </row>
    <row r="15" spans="1:5" x14ac:dyDescent="0.25">
      <c r="A15" s="15">
        <f t="shared" si="0"/>
        <v>4</v>
      </c>
      <c r="B15" s="23" t="s">
        <v>14</v>
      </c>
      <c r="C15" s="91">
        <f>SUM(C12:C14)</f>
        <v>4753680.0887253247</v>
      </c>
      <c r="D15" s="91">
        <f>SUM(D12:D14)</f>
        <v>3902891.521730213</v>
      </c>
      <c r="E15" s="91">
        <f>SUM(E12:E14)</f>
        <v>-850788.56699511199</v>
      </c>
    </row>
    <row r="16" spans="1:5" x14ac:dyDescent="0.25">
      <c r="A16" s="15">
        <f t="shared" si="0"/>
        <v>5</v>
      </c>
      <c r="B16" s="21"/>
      <c r="C16" s="92"/>
      <c r="D16" s="92"/>
      <c r="E16" s="92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178665.5990689735</v>
      </c>
    </row>
    <row r="18" spans="1:6" x14ac:dyDescent="0.25">
      <c r="A18" s="15">
        <f t="shared" si="0"/>
        <v>7</v>
      </c>
      <c r="B18" s="29"/>
      <c r="C18" s="29"/>
      <c r="D18" s="29"/>
      <c r="E18" s="29"/>
    </row>
    <row r="19" spans="1:6" x14ac:dyDescent="0.25">
      <c r="A19" s="15">
        <f t="shared" si="0"/>
        <v>8</v>
      </c>
      <c r="B19" s="23" t="s">
        <v>12</v>
      </c>
      <c r="C19" s="21"/>
      <c r="D19" s="21"/>
      <c r="E19" s="93">
        <f>-(E15+E17)</f>
        <v>672122.96792613855</v>
      </c>
    </row>
    <row r="20" spans="1:6" x14ac:dyDescent="0.25">
      <c r="A20" s="15"/>
      <c r="B20" s="29"/>
      <c r="C20" s="29"/>
      <c r="D20" s="29"/>
      <c r="E20" s="29"/>
    </row>
    <row r="21" spans="1:6" x14ac:dyDescent="0.25">
      <c r="A21" s="15"/>
      <c r="B21" s="29"/>
      <c r="C21" s="68"/>
      <c r="D21" s="68"/>
      <c r="E21" s="69"/>
      <c r="F21" s="69"/>
    </row>
    <row r="22" spans="1:6" x14ac:dyDescent="0.25">
      <c r="A22" s="29"/>
      <c r="B22" s="29"/>
      <c r="C22" s="29"/>
      <c r="D22" s="29"/>
      <c r="E22" s="94"/>
    </row>
    <row r="23" spans="1:6" x14ac:dyDescent="0.25">
      <c r="A23" s="29"/>
      <c r="B23" s="29"/>
      <c r="C23" s="29"/>
      <c r="D23" s="29"/>
      <c r="E23" s="33"/>
      <c r="F23" s="32"/>
    </row>
    <row r="24" spans="1:6" x14ac:dyDescent="0.25">
      <c r="A24" s="29"/>
      <c r="B24" s="29"/>
      <c r="C24" s="29"/>
      <c r="D24" s="29"/>
      <c r="E24" s="96"/>
    </row>
    <row r="25" spans="1:6" x14ac:dyDescent="0.25">
      <c r="A25" s="15"/>
      <c r="B25" s="23"/>
      <c r="C25" s="21"/>
      <c r="D25" s="21"/>
      <c r="E25" s="96"/>
      <c r="F25" s="32"/>
    </row>
    <row r="26" spans="1:6" x14ac:dyDescent="0.25">
      <c r="D26" s="27"/>
      <c r="E26" s="96"/>
    </row>
    <row r="27" spans="1:6" x14ac:dyDescent="0.25">
      <c r="E27" s="96"/>
    </row>
    <row r="28" spans="1:6" x14ac:dyDescent="0.25">
      <c r="E28" s="96"/>
    </row>
    <row r="29" spans="1:6" x14ac:dyDescent="0.25">
      <c r="E29" s="9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8"/>
  <sheetViews>
    <sheetView workbookViewId="0">
      <selection activeCell="M28" sqref="M28"/>
    </sheetView>
  </sheetViews>
  <sheetFormatPr defaultColWidth="8.7109375" defaultRowHeight="15" x14ac:dyDescent="0.25"/>
  <cols>
    <col min="1" max="1" width="4.7109375" style="96" customWidth="1"/>
    <col min="2" max="3" width="7.7109375" style="96" customWidth="1"/>
    <col min="4" max="4" width="10.7109375" style="96" bestFit="1" customWidth="1"/>
    <col min="5" max="6" width="8.7109375" style="96"/>
    <col min="7" max="7" width="12.5703125" style="96" bestFit="1" customWidth="1"/>
    <col min="8" max="8" width="12.28515625" style="96" customWidth="1"/>
    <col min="9" max="9" width="12.5703125" style="96" bestFit="1" customWidth="1"/>
    <col min="10" max="10" width="11.5703125" style="96" bestFit="1" customWidth="1"/>
    <col min="11" max="11" width="11.7109375" style="96" bestFit="1" customWidth="1"/>
    <col min="12" max="12" width="2.42578125" style="96" customWidth="1"/>
    <col min="13" max="14" width="11.5703125" style="96" bestFit="1" customWidth="1"/>
    <col min="15" max="16384" width="8.7109375" style="96"/>
  </cols>
  <sheetData>
    <row r="4" spans="2:15" x14ac:dyDescent="0.25">
      <c r="M4" s="205" t="s">
        <v>123</v>
      </c>
      <c r="N4" s="206"/>
    </row>
    <row r="5" spans="2:15" x14ac:dyDescent="0.25">
      <c r="B5" s="207" t="s">
        <v>94</v>
      </c>
      <c r="C5" s="207" t="s">
        <v>124</v>
      </c>
      <c r="D5" s="207" t="s">
        <v>125</v>
      </c>
      <c r="E5" s="207" t="s">
        <v>126</v>
      </c>
      <c r="F5" s="207" t="s">
        <v>127</v>
      </c>
      <c r="G5" s="207" t="s">
        <v>16</v>
      </c>
      <c r="H5" s="207" t="s">
        <v>128</v>
      </c>
      <c r="I5" s="207" t="s">
        <v>114</v>
      </c>
      <c r="J5" s="207" t="s">
        <v>21</v>
      </c>
      <c r="K5" s="207" t="s">
        <v>22</v>
      </c>
      <c r="L5" s="208"/>
      <c r="M5" s="207" t="s">
        <v>21</v>
      </c>
      <c r="N5" s="207" t="s">
        <v>22</v>
      </c>
    </row>
    <row r="6" spans="2:15" x14ac:dyDescent="0.25">
      <c r="B6" s="209" t="s">
        <v>32</v>
      </c>
      <c r="C6" s="209" t="s">
        <v>17</v>
      </c>
      <c r="D6" s="287" t="s">
        <v>121</v>
      </c>
      <c r="E6" s="287" t="s">
        <v>18</v>
      </c>
      <c r="F6" s="287" t="s">
        <v>34</v>
      </c>
      <c r="G6" s="287" t="s">
        <v>35</v>
      </c>
      <c r="H6" s="210" t="s">
        <v>129</v>
      </c>
      <c r="I6" s="209" t="s">
        <v>130</v>
      </c>
      <c r="J6" s="209" t="s">
        <v>131</v>
      </c>
      <c r="K6" s="209" t="s">
        <v>132</v>
      </c>
      <c r="L6" s="209"/>
      <c r="M6" s="209" t="s">
        <v>65</v>
      </c>
      <c r="N6" s="209" t="s">
        <v>133</v>
      </c>
    </row>
    <row r="7" spans="2:15" x14ac:dyDescent="0.25">
      <c r="B7" s="211">
        <v>2019</v>
      </c>
      <c r="C7" s="211">
        <v>2020</v>
      </c>
      <c r="D7" s="288">
        <v>0.48549999999999999</v>
      </c>
      <c r="E7" s="288">
        <v>0.69820000000000004</v>
      </c>
      <c r="F7" s="288">
        <v>0.30180000000000001</v>
      </c>
      <c r="G7" s="289">
        <v>22994219</v>
      </c>
      <c r="H7" s="212">
        <f>G7*(1-D7)</f>
        <v>11830525.6755</v>
      </c>
      <c r="I7" s="212">
        <f>G7*D7</f>
        <v>11163693.3245</v>
      </c>
      <c r="J7" s="212">
        <f>I7*E7</f>
        <v>7794490.6791659007</v>
      </c>
      <c r="K7" s="212">
        <f>I7*F7</f>
        <v>3369202.6453341004</v>
      </c>
      <c r="L7" s="212"/>
      <c r="M7" s="212"/>
      <c r="N7" s="212"/>
    </row>
    <row r="8" spans="2:15" x14ac:dyDescent="0.25">
      <c r="B8" s="211">
        <v>2020</v>
      </c>
      <c r="C8" s="211">
        <v>2021</v>
      </c>
      <c r="D8" s="288">
        <v>0.49080000000000001</v>
      </c>
      <c r="E8" s="288">
        <v>0.70930000000000004</v>
      </c>
      <c r="F8" s="288">
        <v>0.29070000000000001</v>
      </c>
      <c r="G8" s="290">
        <v>13613595</v>
      </c>
      <c r="H8" s="202">
        <f t="shared" ref="H8:H11" si="0">G8*(1-D8)</f>
        <v>6932042.574</v>
      </c>
      <c r="I8" s="202">
        <f t="shared" ref="I8:I11" si="1">G8*D8</f>
        <v>6681552.426</v>
      </c>
      <c r="J8" s="202">
        <f t="shared" ref="J8:J11" si="2">I8*E8</f>
        <v>4739225.1357618002</v>
      </c>
      <c r="K8" s="202">
        <f t="shared" ref="K8:K11" si="3">I8*F8</f>
        <v>1942327.2902382</v>
      </c>
      <c r="L8" s="202"/>
      <c r="M8" s="202"/>
      <c r="N8" s="202"/>
    </row>
    <row r="9" spans="2:15" x14ac:dyDescent="0.25">
      <c r="B9" s="211">
        <v>2021</v>
      </c>
      <c r="C9" s="211">
        <v>2022</v>
      </c>
      <c r="D9" s="288">
        <v>0.4824</v>
      </c>
      <c r="E9" s="288">
        <v>0.7248</v>
      </c>
      <c r="F9" s="288">
        <v>0.2752</v>
      </c>
      <c r="G9" s="290">
        <v>16800427</v>
      </c>
      <c r="H9" s="202">
        <f t="shared" si="0"/>
        <v>8695901.0152000003</v>
      </c>
      <c r="I9" s="202">
        <f t="shared" si="1"/>
        <v>8104525.9847999997</v>
      </c>
      <c r="J9" s="202">
        <f t="shared" si="2"/>
        <v>5874160.4337830395</v>
      </c>
      <c r="K9" s="202">
        <f t="shared" si="3"/>
        <v>2230365.5510169598</v>
      </c>
      <c r="L9" s="202"/>
      <c r="M9" s="202"/>
      <c r="N9" s="202"/>
    </row>
    <row r="10" spans="2:15" x14ac:dyDescent="0.25">
      <c r="B10" s="211">
        <v>2022</v>
      </c>
      <c r="C10" s="211">
        <v>2023</v>
      </c>
      <c r="D10" s="288">
        <v>0.4758</v>
      </c>
      <c r="E10" s="288">
        <v>0.72770000000000001</v>
      </c>
      <c r="F10" s="288">
        <v>0.27229999999999999</v>
      </c>
      <c r="G10" s="290">
        <v>26446573</v>
      </c>
      <c r="H10" s="202">
        <f>G10*(1-D10)</f>
        <v>13863293.5666</v>
      </c>
      <c r="I10" s="202">
        <f t="shared" si="1"/>
        <v>12583279.4334</v>
      </c>
      <c r="J10" s="202">
        <f t="shared" si="2"/>
        <v>9156852.4436851796</v>
      </c>
      <c r="K10" s="202">
        <f t="shared" si="3"/>
        <v>3426426.9897148195</v>
      </c>
      <c r="L10" s="202"/>
      <c r="M10" s="202">
        <f t="shared" ref="M10:N12" si="4">AVERAGE(J7:J10)</f>
        <v>6891182.1730989795</v>
      </c>
      <c r="N10" s="202">
        <f t="shared" si="4"/>
        <v>2742080.6190760201</v>
      </c>
      <c r="O10" s="213"/>
    </row>
    <row r="11" spans="2:15" x14ac:dyDescent="0.25">
      <c r="B11" s="211">
        <v>2023</v>
      </c>
      <c r="C11" s="211">
        <v>2024</v>
      </c>
      <c r="D11" s="288">
        <v>0.45991132720047301</v>
      </c>
      <c r="E11" s="288">
        <v>0.72499999999999998</v>
      </c>
      <c r="F11" s="288">
        <v>0.27500000000000002</v>
      </c>
      <c r="G11" s="290">
        <v>33941680.969999999</v>
      </c>
      <c r="H11" s="202">
        <f t="shared" si="0"/>
        <v>18331517.42767226</v>
      </c>
      <c r="I11" s="202">
        <f t="shared" si="1"/>
        <v>15610163.542327737</v>
      </c>
      <c r="J11" s="202">
        <f t="shared" si="2"/>
        <v>11317368.568187609</v>
      </c>
      <c r="K11" s="202">
        <f t="shared" si="3"/>
        <v>4292794.9741401281</v>
      </c>
      <c r="L11" s="202"/>
      <c r="M11" s="202">
        <f t="shared" si="4"/>
        <v>7771901.6453544069</v>
      </c>
      <c r="N11" s="202">
        <f t="shared" si="4"/>
        <v>2972978.701277527</v>
      </c>
    </row>
    <row r="12" spans="2:15" x14ac:dyDescent="0.25">
      <c r="B12" s="211">
        <v>2024</v>
      </c>
      <c r="C12" s="211">
        <v>2025</v>
      </c>
      <c r="D12" s="288">
        <f>[1]Lead!$G$43</f>
        <v>0.45218731964206904</v>
      </c>
      <c r="E12" s="288">
        <f>[1]Lead!$E$40</f>
        <v>0.74580000000000002</v>
      </c>
      <c r="F12" s="288">
        <f>[1]Lead!$F$40</f>
        <v>0.25419999999999998</v>
      </c>
      <c r="G12" s="290">
        <f>'Report 2024'!E36</f>
        <v>38284035</v>
      </c>
      <c r="H12" s="202">
        <f t="shared" ref="H12" si="5">G12*(1-D12)</f>
        <v>20972479.82826684</v>
      </c>
      <c r="I12" s="202">
        <f t="shared" ref="I12" si="6">G12*D12</f>
        <v>17311555.17173316</v>
      </c>
      <c r="J12" s="202">
        <f t="shared" ref="J12" si="7">I12*E12</f>
        <v>12910957.847078592</v>
      </c>
      <c r="K12" s="202">
        <f t="shared" ref="K12" si="8">I12*F12</f>
        <v>4400597.3246545689</v>
      </c>
      <c r="L12" s="202"/>
      <c r="M12" s="202">
        <f t="shared" si="4"/>
        <v>9814834.8231836054</v>
      </c>
      <c r="N12" s="202">
        <f t="shared" si="4"/>
        <v>3587546.2098816186</v>
      </c>
    </row>
    <row r="13" spans="2:15" x14ac:dyDescent="0.25">
      <c r="B13" s="211"/>
      <c r="C13" s="211"/>
      <c r="D13" s="288"/>
      <c r="E13" s="288"/>
      <c r="F13" s="288"/>
      <c r="G13" s="29"/>
      <c r="H13" s="202"/>
      <c r="I13" s="202"/>
      <c r="J13" s="202"/>
      <c r="K13" s="202"/>
      <c r="L13" s="202"/>
      <c r="M13" s="202"/>
      <c r="N13" s="202"/>
    </row>
    <row r="14" spans="2:15" x14ac:dyDescent="0.25">
      <c r="D14" s="29"/>
      <c r="E14" s="29"/>
      <c r="F14" s="29"/>
      <c r="G14" s="29"/>
    </row>
    <row r="15" spans="2:15" x14ac:dyDescent="0.25">
      <c r="D15" s="29"/>
      <c r="E15" s="29"/>
      <c r="F15" s="29"/>
      <c r="G15" s="29"/>
      <c r="M15" s="202"/>
      <c r="N15" s="202"/>
    </row>
    <row r="16" spans="2:15" x14ac:dyDescent="0.25">
      <c r="D16" s="29"/>
      <c r="E16" s="29"/>
      <c r="F16" s="29"/>
      <c r="G16" s="29"/>
    </row>
    <row r="17" spans="4:7" x14ac:dyDescent="0.25">
      <c r="D17" s="29"/>
      <c r="E17" s="29"/>
      <c r="F17" s="29"/>
      <c r="G17" s="29"/>
    </row>
    <row r="18" spans="4:7" x14ac:dyDescent="0.25">
      <c r="D18" s="29"/>
      <c r="E18" s="29"/>
      <c r="F18" s="29"/>
      <c r="G18" s="2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D34" sqref="D34"/>
    </sheetView>
  </sheetViews>
  <sheetFormatPr defaultColWidth="9.140625" defaultRowHeight="15" x14ac:dyDescent="0.25"/>
  <cols>
    <col min="1" max="1" width="45.7109375" style="153" customWidth="1"/>
    <col min="2" max="3" width="15.28515625" style="153" bestFit="1" customWidth="1"/>
    <col min="4" max="4" width="14.7109375" style="153" bestFit="1" customWidth="1"/>
    <col min="5" max="5" width="6.42578125" style="153" customWidth="1"/>
    <col min="6" max="6" width="29.140625" style="153" customWidth="1"/>
    <col min="7" max="9" width="13.85546875" style="153" customWidth="1"/>
    <col min="10" max="10" width="8.85546875" style="153" customWidth="1"/>
    <col min="11" max="11" width="58.85546875" style="153" bestFit="1" customWidth="1"/>
    <col min="12" max="16384" width="9.140625" style="153"/>
  </cols>
  <sheetData>
    <row r="1" spans="1:11" x14ac:dyDescent="0.25">
      <c r="A1" s="115"/>
    </row>
    <row r="3" spans="1:11" x14ac:dyDescent="0.25">
      <c r="A3" s="282" t="s">
        <v>0</v>
      </c>
      <c r="B3" s="282"/>
      <c r="C3" s="282"/>
      <c r="D3" s="282"/>
      <c r="E3" s="163"/>
      <c r="F3" s="163"/>
      <c r="G3" s="163"/>
      <c r="H3" s="163"/>
      <c r="I3" s="163"/>
    </row>
    <row r="4" spans="1:11" x14ac:dyDescent="0.25">
      <c r="A4" s="282" t="s">
        <v>19</v>
      </c>
      <c r="B4" s="282"/>
      <c r="C4" s="282"/>
      <c r="D4" s="282"/>
      <c r="E4" s="163"/>
      <c r="F4" s="163"/>
      <c r="G4" s="163"/>
      <c r="H4" s="163"/>
      <c r="I4" s="163"/>
    </row>
    <row r="5" spans="1:11" x14ac:dyDescent="0.25">
      <c r="A5" s="283" t="str">
        <f>' Electric'!A6</f>
        <v>FOR THE TWELVE MONTHS ENDED DECEMBER 31, 2024</v>
      </c>
      <c r="B5" s="283"/>
      <c r="C5" s="283"/>
      <c r="D5" s="283"/>
      <c r="E5" s="163"/>
      <c r="F5" s="163"/>
      <c r="G5" s="163"/>
      <c r="H5" s="163"/>
      <c r="I5" s="163"/>
    </row>
    <row r="6" spans="1:11" x14ac:dyDescent="0.25">
      <c r="A6" s="164"/>
      <c r="B6" s="117"/>
      <c r="C6" s="117"/>
      <c r="D6" s="117"/>
      <c r="E6" s="163"/>
      <c r="F6" s="163"/>
      <c r="G6" s="163"/>
      <c r="H6" s="163"/>
      <c r="I6" s="163"/>
    </row>
    <row r="7" spans="1:11" x14ac:dyDescent="0.25">
      <c r="A7" s="154"/>
      <c r="B7" s="154"/>
      <c r="C7" s="154"/>
      <c r="D7" s="154"/>
    </row>
    <row r="8" spans="1:11" ht="15.75" thickBot="1" x14ac:dyDescent="0.3">
      <c r="A8" s="154"/>
      <c r="B8" s="154"/>
      <c r="C8" s="154"/>
      <c r="D8" s="154"/>
    </row>
    <row r="9" spans="1:11" ht="15.75" thickBot="1" x14ac:dyDescent="0.3">
      <c r="A9" s="165" t="s">
        <v>20</v>
      </c>
      <c r="B9" s="166"/>
      <c r="C9" s="166"/>
      <c r="D9" s="167"/>
    </row>
    <row r="10" spans="1:11" x14ac:dyDescent="0.25">
      <c r="A10" s="155"/>
      <c r="B10" s="155"/>
      <c r="C10" s="155"/>
      <c r="D10" s="155"/>
      <c r="E10" s="154"/>
      <c r="J10" s="154"/>
      <c r="K10" s="154"/>
    </row>
    <row r="11" spans="1:11" x14ac:dyDescent="0.25">
      <c r="A11" s="154" t="s">
        <v>89</v>
      </c>
      <c r="B11" s="154"/>
      <c r="C11" s="240">
        <f>'4 Year Average Calc'!E12</f>
        <v>0.74580000000000002</v>
      </c>
      <c r="D11" s="240">
        <f>'4 Year Average Calc'!F12</f>
        <v>0.25419999999999998</v>
      </c>
      <c r="E11" s="154"/>
      <c r="F11" s="154"/>
      <c r="J11" s="154"/>
      <c r="K11" s="154"/>
    </row>
    <row r="12" spans="1:11" x14ac:dyDescent="0.25">
      <c r="A12" s="154"/>
      <c r="B12" s="156" t="s">
        <v>16</v>
      </c>
      <c r="C12" s="156" t="s">
        <v>21</v>
      </c>
      <c r="D12" s="156" t="s">
        <v>22</v>
      </c>
      <c r="E12" s="154"/>
      <c r="J12" s="154"/>
      <c r="K12" s="154"/>
    </row>
    <row r="13" spans="1:11" ht="15.75" thickBot="1" x14ac:dyDescent="0.3">
      <c r="A13" s="154"/>
      <c r="B13" s="157"/>
      <c r="C13" s="157"/>
      <c r="D13" s="157"/>
      <c r="E13" s="154"/>
      <c r="J13" s="154"/>
      <c r="K13" s="154"/>
    </row>
    <row r="14" spans="1:11" ht="15.75" thickTop="1" x14ac:dyDescent="0.25">
      <c r="A14" s="154"/>
      <c r="B14" s="156"/>
      <c r="C14" s="156"/>
      <c r="D14" s="156"/>
      <c r="E14" s="154"/>
      <c r="J14" s="154"/>
      <c r="K14" s="154"/>
    </row>
    <row r="15" spans="1:11" x14ac:dyDescent="0.25">
      <c r="A15" s="158" t="s">
        <v>23</v>
      </c>
      <c r="B15" s="159">
        <f>-'Report 2024'!E29</f>
        <v>37264321.620000005</v>
      </c>
      <c r="C15" s="159">
        <f>$B15*C$11</f>
        <v>27791731.064196005</v>
      </c>
      <c r="D15" s="159">
        <f>$B15*D$11</f>
        <v>9472590.5558040012</v>
      </c>
      <c r="E15" s="154"/>
      <c r="J15" s="154"/>
      <c r="K15" s="154"/>
    </row>
    <row r="16" spans="1:11" x14ac:dyDescent="0.25">
      <c r="A16" s="158" t="s">
        <v>24</v>
      </c>
      <c r="B16" s="168">
        <f>'4 Year Average Calc'!D12</f>
        <v>0.45218731964206904</v>
      </c>
      <c r="C16" s="137">
        <f>B16</f>
        <v>0.45218731964206904</v>
      </c>
      <c r="D16" s="137">
        <f>B16</f>
        <v>0.45218731964206904</v>
      </c>
      <c r="E16" s="154"/>
      <c r="J16" s="154"/>
      <c r="K16" s="154"/>
    </row>
    <row r="17" spans="1:11" x14ac:dyDescent="0.25">
      <c r="A17" s="160" t="s">
        <v>25</v>
      </c>
      <c r="B17" s="169">
        <f>B15*B16</f>
        <v>16850453.711627807</v>
      </c>
      <c r="C17" s="169">
        <f>C15*C16</f>
        <v>12567068.378132019</v>
      </c>
      <c r="D17" s="169">
        <f>D15*D16</f>
        <v>4283385.3334957883</v>
      </c>
      <c r="E17" s="154"/>
      <c r="J17" s="154"/>
      <c r="K17" s="154"/>
    </row>
    <row r="18" spans="1:11" x14ac:dyDescent="0.25">
      <c r="A18" s="160"/>
      <c r="B18" s="170"/>
      <c r="C18" s="170"/>
      <c r="D18" s="170"/>
      <c r="E18" s="154"/>
      <c r="J18" s="154"/>
      <c r="K18" s="154"/>
    </row>
    <row r="19" spans="1:11" x14ac:dyDescent="0.25">
      <c r="A19" s="158" t="s">
        <v>26</v>
      </c>
      <c r="B19" s="171">
        <f>'Manual Clearing'!K24</f>
        <v>368644.59999999986</v>
      </c>
      <c r="C19" s="171">
        <f>'Manual Clearing'!K21</f>
        <v>282437.05848399986</v>
      </c>
      <c r="D19" s="171">
        <f>'Manual Clearing'!K22</f>
        <v>86207.541515999968</v>
      </c>
      <c r="E19" s="154"/>
      <c r="J19" s="154"/>
      <c r="K19" s="154"/>
    </row>
    <row r="20" spans="1:11" x14ac:dyDescent="0.25">
      <c r="A20" s="158"/>
      <c r="B20" s="161"/>
      <c r="C20" s="170"/>
      <c r="D20" s="170"/>
      <c r="E20" s="154"/>
      <c r="J20" s="154"/>
      <c r="K20" s="154"/>
    </row>
    <row r="21" spans="1:11" x14ac:dyDescent="0.25">
      <c r="A21" s="160" t="s">
        <v>27</v>
      </c>
      <c r="B21" s="170">
        <f>B17+B19</f>
        <v>17219098.311627809</v>
      </c>
      <c r="C21" s="170">
        <f>C17+C19</f>
        <v>12849505.436616018</v>
      </c>
      <c r="D21" s="170">
        <f>D17+D19</f>
        <v>4369592.8750117887</v>
      </c>
      <c r="E21" s="154"/>
      <c r="J21" s="154"/>
      <c r="K21" s="154"/>
    </row>
    <row r="22" spans="1:11" x14ac:dyDescent="0.25">
      <c r="A22" s="158"/>
      <c r="B22" s="137"/>
      <c r="C22" s="162"/>
      <c r="D22" s="162"/>
      <c r="E22" s="154"/>
      <c r="J22" s="154"/>
      <c r="K22" s="154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85" zoomScaleNormal="85" workbookViewId="0">
      <selection activeCell="L41" sqref="L41"/>
    </sheetView>
  </sheetViews>
  <sheetFormatPr defaultRowHeight="15" x14ac:dyDescent="0.25"/>
  <cols>
    <col min="1" max="1" width="16.140625" style="48" customWidth="1"/>
    <col min="2" max="2" width="8.7109375" style="48" customWidth="1"/>
    <col min="3" max="3" width="15.42578125" style="48" hidden="1" customWidth="1"/>
    <col min="4" max="4" width="13.5703125" style="48" customWidth="1"/>
    <col min="5" max="5" width="25.42578125" style="48" customWidth="1"/>
    <col min="6" max="6" width="22" style="48" customWidth="1"/>
    <col min="7" max="7" width="2.140625" style="59" customWidth="1"/>
    <col min="8" max="8" width="16.42578125" style="48" customWidth="1"/>
    <col min="9" max="9" width="15.7109375" style="48" customWidth="1"/>
    <col min="10" max="10" width="16.28515625" style="48" bestFit="1" customWidth="1"/>
    <col min="11" max="12" width="19.7109375" style="48" bestFit="1" customWidth="1"/>
    <col min="13" max="13" width="14.42578125" style="48" customWidth="1"/>
    <col min="14" max="14" width="15" style="48" bestFit="1" customWidth="1"/>
    <col min="15" max="15" width="8.85546875" customWidth="1"/>
    <col min="16" max="16" width="36" style="48" customWidth="1"/>
    <col min="17" max="255" width="8.85546875" style="48"/>
    <col min="256" max="256" width="16.140625" style="48" customWidth="1"/>
    <col min="257" max="257" width="8.7109375" style="48" customWidth="1"/>
    <col min="258" max="258" width="0" style="48" hidden="1" customWidth="1"/>
    <col min="259" max="259" width="13.5703125" style="48" customWidth="1"/>
    <col min="260" max="260" width="15.7109375" style="48" customWidth="1"/>
    <col min="261" max="261" width="14.7109375" style="48" customWidth="1"/>
    <col min="262" max="262" width="2.140625" style="48" customWidth="1"/>
    <col min="263" max="263" width="16.42578125" style="48" customWidth="1"/>
    <col min="264" max="264" width="15.7109375" style="48" customWidth="1"/>
    <col min="265" max="265" width="16.28515625" style="48" bestFit="1" customWidth="1"/>
    <col min="266" max="266" width="18.7109375" style="48" customWidth="1"/>
    <col min="267" max="267" width="9.140625" style="48" customWidth="1"/>
    <col min="268" max="268" width="14.42578125" style="48" customWidth="1"/>
    <col min="269" max="269" width="9.7109375" style="48" customWidth="1"/>
    <col min="270" max="270" width="0" style="48" hidden="1" customWidth="1"/>
    <col min="271" max="511" width="8.85546875" style="48"/>
    <col min="512" max="512" width="16.140625" style="48" customWidth="1"/>
    <col min="513" max="513" width="8.7109375" style="48" customWidth="1"/>
    <col min="514" max="514" width="0" style="48" hidden="1" customWidth="1"/>
    <col min="515" max="515" width="13.5703125" style="48" customWidth="1"/>
    <col min="516" max="516" width="15.7109375" style="48" customWidth="1"/>
    <col min="517" max="517" width="14.7109375" style="48" customWidth="1"/>
    <col min="518" max="518" width="2.140625" style="48" customWidth="1"/>
    <col min="519" max="519" width="16.42578125" style="48" customWidth="1"/>
    <col min="520" max="520" width="15.7109375" style="48" customWidth="1"/>
    <col min="521" max="521" width="16.28515625" style="48" bestFit="1" customWidth="1"/>
    <col min="522" max="522" width="18.7109375" style="48" customWidth="1"/>
    <col min="523" max="523" width="9.140625" style="48" customWidth="1"/>
    <col min="524" max="524" width="14.42578125" style="48" customWidth="1"/>
    <col min="525" max="525" width="9.7109375" style="48" customWidth="1"/>
    <col min="526" max="526" width="0" style="48" hidden="1" customWidth="1"/>
    <col min="527" max="767" width="8.85546875" style="48"/>
    <col min="768" max="768" width="16.140625" style="48" customWidth="1"/>
    <col min="769" max="769" width="8.7109375" style="48" customWidth="1"/>
    <col min="770" max="770" width="0" style="48" hidden="1" customWidth="1"/>
    <col min="771" max="771" width="13.5703125" style="48" customWidth="1"/>
    <col min="772" max="772" width="15.7109375" style="48" customWidth="1"/>
    <col min="773" max="773" width="14.7109375" style="48" customWidth="1"/>
    <col min="774" max="774" width="2.140625" style="48" customWidth="1"/>
    <col min="775" max="775" width="16.42578125" style="48" customWidth="1"/>
    <col min="776" max="776" width="15.7109375" style="48" customWidth="1"/>
    <col min="777" max="777" width="16.28515625" style="48" bestFit="1" customWidth="1"/>
    <col min="778" max="778" width="18.7109375" style="48" customWidth="1"/>
    <col min="779" max="779" width="9.140625" style="48" customWidth="1"/>
    <col min="780" max="780" width="14.42578125" style="48" customWidth="1"/>
    <col min="781" max="781" width="9.7109375" style="48" customWidth="1"/>
    <col min="782" max="782" width="0" style="48" hidden="1" customWidth="1"/>
    <col min="783" max="1023" width="8.85546875" style="48"/>
    <col min="1024" max="1024" width="16.140625" style="48" customWidth="1"/>
    <col min="1025" max="1025" width="8.7109375" style="48" customWidth="1"/>
    <col min="1026" max="1026" width="0" style="48" hidden="1" customWidth="1"/>
    <col min="1027" max="1027" width="13.5703125" style="48" customWidth="1"/>
    <col min="1028" max="1028" width="15.7109375" style="48" customWidth="1"/>
    <col min="1029" max="1029" width="14.7109375" style="48" customWidth="1"/>
    <col min="1030" max="1030" width="2.140625" style="48" customWidth="1"/>
    <col min="1031" max="1031" width="16.42578125" style="48" customWidth="1"/>
    <col min="1032" max="1032" width="15.7109375" style="48" customWidth="1"/>
    <col min="1033" max="1033" width="16.28515625" style="48" bestFit="1" customWidth="1"/>
    <col min="1034" max="1034" width="18.7109375" style="48" customWidth="1"/>
    <col min="1035" max="1035" width="9.140625" style="48" customWidth="1"/>
    <col min="1036" max="1036" width="14.42578125" style="48" customWidth="1"/>
    <col min="1037" max="1037" width="9.7109375" style="48" customWidth="1"/>
    <col min="1038" max="1038" width="0" style="48" hidden="1" customWidth="1"/>
    <col min="1039" max="1279" width="8.85546875" style="48"/>
    <col min="1280" max="1280" width="16.140625" style="48" customWidth="1"/>
    <col min="1281" max="1281" width="8.7109375" style="48" customWidth="1"/>
    <col min="1282" max="1282" width="0" style="48" hidden="1" customWidth="1"/>
    <col min="1283" max="1283" width="13.5703125" style="48" customWidth="1"/>
    <col min="1284" max="1284" width="15.7109375" style="48" customWidth="1"/>
    <col min="1285" max="1285" width="14.7109375" style="48" customWidth="1"/>
    <col min="1286" max="1286" width="2.140625" style="48" customWidth="1"/>
    <col min="1287" max="1287" width="16.42578125" style="48" customWidth="1"/>
    <col min="1288" max="1288" width="15.7109375" style="48" customWidth="1"/>
    <col min="1289" max="1289" width="16.28515625" style="48" bestFit="1" customWidth="1"/>
    <col min="1290" max="1290" width="18.7109375" style="48" customWidth="1"/>
    <col min="1291" max="1291" width="9.140625" style="48" customWidth="1"/>
    <col min="1292" max="1292" width="14.42578125" style="48" customWidth="1"/>
    <col min="1293" max="1293" width="9.7109375" style="48" customWidth="1"/>
    <col min="1294" max="1294" width="0" style="48" hidden="1" customWidth="1"/>
    <col min="1295" max="1535" width="8.85546875" style="48"/>
    <col min="1536" max="1536" width="16.140625" style="48" customWidth="1"/>
    <col min="1537" max="1537" width="8.7109375" style="48" customWidth="1"/>
    <col min="1538" max="1538" width="0" style="48" hidden="1" customWidth="1"/>
    <col min="1539" max="1539" width="13.5703125" style="48" customWidth="1"/>
    <col min="1540" max="1540" width="15.7109375" style="48" customWidth="1"/>
    <col min="1541" max="1541" width="14.7109375" style="48" customWidth="1"/>
    <col min="1542" max="1542" width="2.140625" style="48" customWidth="1"/>
    <col min="1543" max="1543" width="16.42578125" style="48" customWidth="1"/>
    <col min="1544" max="1544" width="15.7109375" style="48" customWidth="1"/>
    <col min="1545" max="1545" width="16.28515625" style="48" bestFit="1" customWidth="1"/>
    <col min="1546" max="1546" width="18.7109375" style="48" customWidth="1"/>
    <col min="1547" max="1547" width="9.140625" style="48" customWidth="1"/>
    <col min="1548" max="1548" width="14.42578125" style="48" customWidth="1"/>
    <col min="1549" max="1549" width="9.7109375" style="48" customWidth="1"/>
    <col min="1550" max="1550" width="0" style="48" hidden="1" customWidth="1"/>
    <col min="1551" max="1791" width="8.85546875" style="48"/>
    <col min="1792" max="1792" width="16.140625" style="48" customWidth="1"/>
    <col min="1793" max="1793" width="8.7109375" style="48" customWidth="1"/>
    <col min="1794" max="1794" width="0" style="48" hidden="1" customWidth="1"/>
    <col min="1795" max="1795" width="13.5703125" style="48" customWidth="1"/>
    <col min="1796" max="1796" width="15.7109375" style="48" customWidth="1"/>
    <col min="1797" max="1797" width="14.7109375" style="48" customWidth="1"/>
    <col min="1798" max="1798" width="2.140625" style="48" customWidth="1"/>
    <col min="1799" max="1799" width="16.42578125" style="48" customWidth="1"/>
    <col min="1800" max="1800" width="15.7109375" style="48" customWidth="1"/>
    <col min="1801" max="1801" width="16.28515625" style="48" bestFit="1" customWidth="1"/>
    <col min="1802" max="1802" width="18.7109375" style="48" customWidth="1"/>
    <col min="1803" max="1803" width="9.140625" style="48" customWidth="1"/>
    <col min="1804" max="1804" width="14.42578125" style="48" customWidth="1"/>
    <col min="1805" max="1805" width="9.7109375" style="48" customWidth="1"/>
    <col min="1806" max="1806" width="0" style="48" hidden="1" customWidth="1"/>
    <col min="1807" max="2047" width="8.85546875" style="48"/>
    <col min="2048" max="2048" width="16.140625" style="48" customWidth="1"/>
    <col min="2049" max="2049" width="8.7109375" style="48" customWidth="1"/>
    <col min="2050" max="2050" width="0" style="48" hidden="1" customWidth="1"/>
    <col min="2051" max="2051" width="13.5703125" style="48" customWidth="1"/>
    <col min="2052" max="2052" width="15.7109375" style="48" customWidth="1"/>
    <col min="2053" max="2053" width="14.7109375" style="48" customWidth="1"/>
    <col min="2054" max="2054" width="2.140625" style="48" customWidth="1"/>
    <col min="2055" max="2055" width="16.42578125" style="48" customWidth="1"/>
    <col min="2056" max="2056" width="15.7109375" style="48" customWidth="1"/>
    <col min="2057" max="2057" width="16.28515625" style="48" bestFit="1" customWidth="1"/>
    <col min="2058" max="2058" width="18.7109375" style="48" customWidth="1"/>
    <col min="2059" max="2059" width="9.140625" style="48" customWidth="1"/>
    <col min="2060" max="2060" width="14.42578125" style="48" customWidth="1"/>
    <col min="2061" max="2061" width="9.7109375" style="48" customWidth="1"/>
    <col min="2062" max="2062" width="0" style="48" hidden="1" customWidth="1"/>
    <col min="2063" max="2303" width="8.85546875" style="48"/>
    <col min="2304" max="2304" width="16.140625" style="48" customWidth="1"/>
    <col min="2305" max="2305" width="8.7109375" style="48" customWidth="1"/>
    <col min="2306" max="2306" width="0" style="48" hidden="1" customWidth="1"/>
    <col min="2307" max="2307" width="13.5703125" style="48" customWidth="1"/>
    <col min="2308" max="2308" width="15.7109375" style="48" customWidth="1"/>
    <col min="2309" max="2309" width="14.7109375" style="48" customWidth="1"/>
    <col min="2310" max="2310" width="2.140625" style="48" customWidth="1"/>
    <col min="2311" max="2311" width="16.42578125" style="48" customWidth="1"/>
    <col min="2312" max="2312" width="15.7109375" style="48" customWidth="1"/>
    <col min="2313" max="2313" width="16.28515625" style="48" bestFit="1" customWidth="1"/>
    <col min="2314" max="2314" width="18.7109375" style="48" customWidth="1"/>
    <col min="2315" max="2315" width="9.140625" style="48" customWidth="1"/>
    <col min="2316" max="2316" width="14.42578125" style="48" customWidth="1"/>
    <col min="2317" max="2317" width="9.7109375" style="48" customWidth="1"/>
    <col min="2318" max="2318" width="0" style="48" hidden="1" customWidth="1"/>
    <col min="2319" max="2559" width="8.85546875" style="48"/>
    <col min="2560" max="2560" width="16.140625" style="48" customWidth="1"/>
    <col min="2561" max="2561" width="8.7109375" style="48" customWidth="1"/>
    <col min="2562" max="2562" width="0" style="48" hidden="1" customWidth="1"/>
    <col min="2563" max="2563" width="13.5703125" style="48" customWidth="1"/>
    <col min="2564" max="2564" width="15.7109375" style="48" customWidth="1"/>
    <col min="2565" max="2565" width="14.7109375" style="48" customWidth="1"/>
    <col min="2566" max="2566" width="2.140625" style="48" customWidth="1"/>
    <col min="2567" max="2567" width="16.42578125" style="48" customWidth="1"/>
    <col min="2568" max="2568" width="15.7109375" style="48" customWidth="1"/>
    <col min="2569" max="2569" width="16.28515625" style="48" bestFit="1" customWidth="1"/>
    <col min="2570" max="2570" width="18.7109375" style="48" customWidth="1"/>
    <col min="2571" max="2571" width="9.140625" style="48" customWidth="1"/>
    <col min="2572" max="2572" width="14.42578125" style="48" customWidth="1"/>
    <col min="2573" max="2573" width="9.7109375" style="48" customWidth="1"/>
    <col min="2574" max="2574" width="0" style="48" hidden="1" customWidth="1"/>
    <col min="2575" max="2815" width="8.85546875" style="48"/>
    <col min="2816" max="2816" width="16.140625" style="48" customWidth="1"/>
    <col min="2817" max="2817" width="8.7109375" style="48" customWidth="1"/>
    <col min="2818" max="2818" width="0" style="48" hidden="1" customWidth="1"/>
    <col min="2819" max="2819" width="13.5703125" style="48" customWidth="1"/>
    <col min="2820" max="2820" width="15.7109375" style="48" customWidth="1"/>
    <col min="2821" max="2821" width="14.7109375" style="48" customWidth="1"/>
    <col min="2822" max="2822" width="2.140625" style="48" customWidth="1"/>
    <col min="2823" max="2823" width="16.42578125" style="48" customWidth="1"/>
    <col min="2824" max="2824" width="15.7109375" style="48" customWidth="1"/>
    <col min="2825" max="2825" width="16.28515625" style="48" bestFit="1" customWidth="1"/>
    <col min="2826" max="2826" width="18.7109375" style="48" customWidth="1"/>
    <col min="2827" max="2827" width="9.140625" style="48" customWidth="1"/>
    <col min="2828" max="2828" width="14.42578125" style="48" customWidth="1"/>
    <col min="2829" max="2829" width="9.7109375" style="48" customWidth="1"/>
    <col min="2830" max="2830" width="0" style="48" hidden="1" customWidth="1"/>
    <col min="2831" max="3071" width="8.85546875" style="48"/>
    <col min="3072" max="3072" width="16.140625" style="48" customWidth="1"/>
    <col min="3073" max="3073" width="8.7109375" style="48" customWidth="1"/>
    <col min="3074" max="3074" width="0" style="48" hidden="1" customWidth="1"/>
    <col min="3075" max="3075" width="13.5703125" style="48" customWidth="1"/>
    <col min="3076" max="3076" width="15.7109375" style="48" customWidth="1"/>
    <col min="3077" max="3077" width="14.7109375" style="48" customWidth="1"/>
    <col min="3078" max="3078" width="2.140625" style="48" customWidth="1"/>
    <col min="3079" max="3079" width="16.42578125" style="48" customWidth="1"/>
    <col min="3080" max="3080" width="15.7109375" style="48" customWidth="1"/>
    <col min="3081" max="3081" width="16.28515625" style="48" bestFit="1" customWidth="1"/>
    <col min="3082" max="3082" width="18.7109375" style="48" customWidth="1"/>
    <col min="3083" max="3083" width="9.140625" style="48" customWidth="1"/>
    <col min="3084" max="3084" width="14.42578125" style="48" customWidth="1"/>
    <col min="3085" max="3085" width="9.7109375" style="48" customWidth="1"/>
    <col min="3086" max="3086" width="0" style="48" hidden="1" customWidth="1"/>
    <col min="3087" max="3327" width="8.85546875" style="48"/>
    <col min="3328" max="3328" width="16.140625" style="48" customWidth="1"/>
    <col min="3329" max="3329" width="8.7109375" style="48" customWidth="1"/>
    <col min="3330" max="3330" width="0" style="48" hidden="1" customWidth="1"/>
    <col min="3331" max="3331" width="13.5703125" style="48" customWidth="1"/>
    <col min="3332" max="3332" width="15.7109375" style="48" customWidth="1"/>
    <col min="3333" max="3333" width="14.7109375" style="48" customWidth="1"/>
    <col min="3334" max="3334" width="2.140625" style="48" customWidth="1"/>
    <col min="3335" max="3335" width="16.42578125" style="48" customWidth="1"/>
    <col min="3336" max="3336" width="15.7109375" style="48" customWidth="1"/>
    <col min="3337" max="3337" width="16.28515625" style="48" bestFit="1" customWidth="1"/>
    <col min="3338" max="3338" width="18.7109375" style="48" customWidth="1"/>
    <col min="3339" max="3339" width="9.140625" style="48" customWidth="1"/>
    <col min="3340" max="3340" width="14.42578125" style="48" customWidth="1"/>
    <col min="3341" max="3341" width="9.7109375" style="48" customWidth="1"/>
    <col min="3342" max="3342" width="0" style="48" hidden="1" customWidth="1"/>
    <col min="3343" max="3583" width="8.85546875" style="48"/>
    <col min="3584" max="3584" width="16.140625" style="48" customWidth="1"/>
    <col min="3585" max="3585" width="8.7109375" style="48" customWidth="1"/>
    <col min="3586" max="3586" width="0" style="48" hidden="1" customWidth="1"/>
    <col min="3587" max="3587" width="13.5703125" style="48" customWidth="1"/>
    <col min="3588" max="3588" width="15.7109375" style="48" customWidth="1"/>
    <col min="3589" max="3589" width="14.7109375" style="48" customWidth="1"/>
    <col min="3590" max="3590" width="2.140625" style="48" customWidth="1"/>
    <col min="3591" max="3591" width="16.42578125" style="48" customWidth="1"/>
    <col min="3592" max="3592" width="15.7109375" style="48" customWidth="1"/>
    <col min="3593" max="3593" width="16.28515625" style="48" bestFit="1" customWidth="1"/>
    <col min="3594" max="3594" width="18.7109375" style="48" customWidth="1"/>
    <col min="3595" max="3595" width="9.140625" style="48" customWidth="1"/>
    <col min="3596" max="3596" width="14.42578125" style="48" customWidth="1"/>
    <col min="3597" max="3597" width="9.7109375" style="48" customWidth="1"/>
    <col min="3598" max="3598" width="0" style="48" hidden="1" customWidth="1"/>
    <col min="3599" max="3839" width="8.85546875" style="48"/>
    <col min="3840" max="3840" width="16.140625" style="48" customWidth="1"/>
    <col min="3841" max="3841" width="8.7109375" style="48" customWidth="1"/>
    <col min="3842" max="3842" width="0" style="48" hidden="1" customWidth="1"/>
    <col min="3843" max="3843" width="13.5703125" style="48" customWidth="1"/>
    <col min="3844" max="3844" width="15.7109375" style="48" customWidth="1"/>
    <col min="3845" max="3845" width="14.7109375" style="48" customWidth="1"/>
    <col min="3846" max="3846" width="2.140625" style="48" customWidth="1"/>
    <col min="3847" max="3847" width="16.42578125" style="48" customWidth="1"/>
    <col min="3848" max="3848" width="15.7109375" style="48" customWidth="1"/>
    <col min="3849" max="3849" width="16.28515625" style="48" bestFit="1" customWidth="1"/>
    <col min="3850" max="3850" width="18.7109375" style="48" customWidth="1"/>
    <col min="3851" max="3851" width="9.140625" style="48" customWidth="1"/>
    <col min="3852" max="3852" width="14.42578125" style="48" customWidth="1"/>
    <col min="3853" max="3853" width="9.7109375" style="48" customWidth="1"/>
    <col min="3854" max="3854" width="0" style="48" hidden="1" customWidth="1"/>
    <col min="3855" max="4095" width="8.85546875" style="48"/>
    <col min="4096" max="4096" width="16.140625" style="48" customWidth="1"/>
    <col min="4097" max="4097" width="8.7109375" style="48" customWidth="1"/>
    <col min="4098" max="4098" width="0" style="48" hidden="1" customWidth="1"/>
    <col min="4099" max="4099" width="13.5703125" style="48" customWidth="1"/>
    <col min="4100" max="4100" width="15.7109375" style="48" customWidth="1"/>
    <col min="4101" max="4101" width="14.7109375" style="48" customWidth="1"/>
    <col min="4102" max="4102" width="2.140625" style="48" customWidth="1"/>
    <col min="4103" max="4103" width="16.42578125" style="48" customWidth="1"/>
    <col min="4104" max="4104" width="15.7109375" style="48" customWidth="1"/>
    <col min="4105" max="4105" width="16.28515625" style="48" bestFit="1" customWidth="1"/>
    <col min="4106" max="4106" width="18.7109375" style="48" customWidth="1"/>
    <col min="4107" max="4107" width="9.140625" style="48" customWidth="1"/>
    <col min="4108" max="4108" width="14.42578125" style="48" customWidth="1"/>
    <col min="4109" max="4109" width="9.7109375" style="48" customWidth="1"/>
    <col min="4110" max="4110" width="0" style="48" hidden="1" customWidth="1"/>
    <col min="4111" max="4351" width="8.85546875" style="48"/>
    <col min="4352" max="4352" width="16.140625" style="48" customWidth="1"/>
    <col min="4353" max="4353" width="8.7109375" style="48" customWidth="1"/>
    <col min="4354" max="4354" width="0" style="48" hidden="1" customWidth="1"/>
    <col min="4355" max="4355" width="13.5703125" style="48" customWidth="1"/>
    <col min="4356" max="4356" width="15.7109375" style="48" customWidth="1"/>
    <col min="4357" max="4357" width="14.7109375" style="48" customWidth="1"/>
    <col min="4358" max="4358" width="2.140625" style="48" customWidth="1"/>
    <col min="4359" max="4359" width="16.42578125" style="48" customWidth="1"/>
    <col min="4360" max="4360" width="15.7109375" style="48" customWidth="1"/>
    <col min="4361" max="4361" width="16.28515625" style="48" bestFit="1" customWidth="1"/>
    <col min="4362" max="4362" width="18.7109375" style="48" customWidth="1"/>
    <col min="4363" max="4363" width="9.140625" style="48" customWidth="1"/>
    <col min="4364" max="4364" width="14.42578125" style="48" customWidth="1"/>
    <col min="4365" max="4365" width="9.7109375" style="48" customWidth="1"/>
    <col min="4366" max="4366" width="0" style="48" hidden="1" customWidth="1"/>
    <col min="4367" max="4607" width="8.85546875" style="48"/>
    <col min="4608" max="4608" width="16.140625" style="48" customWidth="1"/>
    <col min="4609" max="4609" width="8.7109375" style="48" customWidth="1"/>
    <col min="4610" max="4610" width="0" style="48" hidden="1" customWidth="1"/>
    <col min="4611" max="4611" width="13.5703125" style="48" customWidth="1"/>
    <col min="4612" max="4612" width="15.7109375" style="48" customWidth="1"/>
    <col min="4613" max="4613" width="14.7109375" style="48" customWidth="1"/>
    <col min="4614" max="4614" width="2.140625" style="48" customWidth="1"/>
    <col min="4615" max="4615" width="16.42578125" style="48" customWidth="1"/>
    <col min="4616" max="4616" width="15.7109375" style="48" customWidth="1"/>
    <col min="4617" max="4617" width="16.28515625" style="48" bestFit="1" customWidth="1"/>
    <col min="4618" max="4618" width="18.7109375" style="48" customWidth="1"/>
    <col min="4619" max="4619" width="9.140625" style="48" customWidth="1"/>
    <col min="4620" max="4620" width="14.42578125" style="48" customWidth="1"/>
    <col min="4621" max="4621" width="9.7109375" style="48" customWidth="1"/>
    <col min="4622" max="4622" width="0" style="48" hidden="1" customWidth="1"/>
    <col min="4623" max="4863" width="8.85546875" style="48"/>
    <col min="4864" max="4864" width="16.140625" style="48" customWidth="1"/>
    <col min="4865" max="4865" width="8.7109375" style="48" customWidth="1"/>
    <col min="4866" max="4866" width="0" style="48" hidden="1" customWidth="1"/>
    <col min="4867" max="4867" width="13.5703125" style="48" customWidth="1"/>
    <col min="4868" max="4868" width="15.7109375" style="48" customWidth="1"/>
    <col min="4869" max="4869" width="14.7109375" style="48" customWidth="1"/>
    <col min="4870" max="4870" width="2.140625" style="48" customWidth="1"/>
    <col min="4871" max="4871" width="16.42578125" style="48" customWidth="1"/>
    <col min="4872" max="4872" width="15.7109375" style="48" customWidth="1"/>
    <col min="4873" max="4873" width="16.28515625" style="48" bestFit="1" customWidth="1"/>
    <col min="4874" max="4874" width="18.7109375" style="48" customWidth="1"/>
    <col min="4875" max="4875" width="9.140625" style="48" customWidth="1"/>
    <col min="4876" max="4876" width="14.42578125" style="48" customWidth="1"/>
    <col min="4877" max="4877" width="9.7109375" style="48" customWidth="1"/>
    <col min="4878" max="4878" width="0" style="48" hidden="1" customWidth="1"/>
    <col min="4879" max="5119" width="8.85546875" style="48"/>
    <col min="5120" max="5120" width="16.140625" style="48" customWidth="1"/>
    <col min="5121" max="5121" width="8.7109375" style="48" customWidth="1"/>
    <col min="5122" max="5122" width="0" style="48" hidden="1" customWidth="1"/>
    <col min="5123" max="5123" width="13.5703125" style="48" customWidth="1"/>
    <col min="5124" max="5124" width="15.7109375" style="48" customWidth="1"/>
    <col min="5125" max="5125" width="14.7109375" style="48" customWidth="1"/>
    <col min="5126" max="5126" width="2.140625" style="48" customWidth="1"/>
    <col min="5127" max="5127" width="16.42578125" style="48" customWidth="1"/>
    <col min="5128" max="5128" width="15.7109375" style="48" customWidth="1"/>
    <col min="5129" max="5129" width="16.28515625" style="48" bestFit="1" customWidth="1"/>
    <col min="5130" max="5130" width="18.7109375" style="48" customWidth="1"/>
    <col min="5131" max="5131" width="9.140625" style="48" customWidth="1"/>
    <col min="5132" max="5132" width="14.42578125" style="48" customWidth="1"/>
    <col min="5133" max="5133" width="9.7109375" style="48" customWidth="1"/>
    <col min="5134" max="5134" width="0" style="48" hidden="1" customWidth="1"/>
    <col min="5135" max="5375" width="8.85546875" style="48"/>
    <col min="5376" max="5376" width="16.140625" style="48" customWidth="1"/>
    <col min="5377" max="5377" width="8.7109375" style="48" customWidth="1"/>
    <col min="5378" max="5378" width="0" style="48" hidden="1" customWidth="1"/>
    <col min="5379" max="5379" width="13.5703125" style="48" customWidth="1"/>
    <col min="5380" max="5380" width="15.7109375" style="48" customWidth="1"/>
    <col min="5381" max="5381" width="14.7109375" style="48" customWidth="1"/>
    <col min="5382" max="5382" width="2.140625" style="48" customWidth="1"/>
    <col min="5383" max="5383" width="16.42578125" style="48" customWidth="1"/>
    <col min="5384" max="5384" width="15.7109375" style="48" customWidth="1"/>
    <col min="5385" max="5385" width="16.28515625" style="48" bestFit="1" customWidth="1"/>
    <col min="5386" max="5386" width="18.7109375" style="48" customWidth="1"/>
    <col min="5387" max="5387" width="9.140625" style="48" customWidth="1"/>
    <col min="5388" max="5388" width="14.42578125" style="48" customWidth="1"/>
    <col min="5389" max="5389" width="9.7109375" style="48" customWidth="1"/>
    <col min="5390" max="5390" width="0" style="48" hidden="1" customWidth="1"/>
    <col min="5391" max="5631" width="8.85546875" style="48"/>
    <col min="5632" max="5632" width="16.140625" style="48" customWidth="1"/>
    <col min="5633" max="5633" width="8.7109375" style="48" customWidth="1"/>
    <col min="5634" max="5634" width="0" style="48" hidden="1" customWidth="1"/>
    <col min="5635" max="5635" width="13.5703125" style="48" customWidth="1"/>
    <col min="5636" max="5636" width="15.7109375" style="48" customWidth="1"/>
    <col min="5637" max="5637" width="14.7109375" style="48" customWidth="1"/>
    <col min="5638" max="5638" width="2.140625" style="48" customWidth="1"/>
    <col min="5639" max="5639" width="16.42578125" style="48" customWidth="1"/>
    <col min="5640" max="5640" width="15.7109375" style="48" customWidth="1"/>
    <col min="5641" max="5641" width="16.28515625" style="48" bestFit="1" customWidth="1"/>
    <col min="5642" max="5642" width="18.7109375" style="48" customWidth="1"/>
    <col min="5643" max="5643" width="9.140625" style="48" customWidth="1"/>
    <col min="5644" max="5644" width="14.42578125" style="48" customWidth="1"/>
    <col min="5645" max="5645" width="9.7109375" style="48" customWidth="1"/>
    <col min="5646" max="5646" width="0" style="48" hidden="1" customWidth="1"/>
    <col min="5647" max="5887" width="8.85546875" style="48"/>
    <col min="5888" max="5888" width="16.140625" style="48" customWidth="1"/>
    <col min="5889" max="5889" width="8.7109375" style="48" customWidth="1"/>
    <col min="5890" max="5890" width="0" style="48" hidden="1" customWidth="1"/>
    <col min="5891" max="5891" width="13.5703125" style="48" customWidth="1"/>
    <col min="5892" max="5892" width="15.7109375" style="48" customWidth="1"/>
    <col min="5893" max="5893" width="14.7109375" style="48" customWidth="1"/>
    <col min="5894" max="5894" width="2.140625" style="48" customWidth="1"/>
    <col min="5895" max="5895" width="16.42578125" style="48" customWidth="1"/>
    <col min="5896" max="5896" width="15.7109375" style="48" customWidth="1"/>
    <col min="5897" max="5897" width="16.28515625" style="48" bestFit="1" customWidth="1"/>
    <col min="5898" max="5898" width="18.7109375" style="48" customWidth="1"/>
    <col min="5899" max="5899" width="9.140625" style="48" customWidth="1"/>
    <col min="5900" max="5900" width="14.42578125" style="48" customWidth="1"/>
    <col min="5901" max="5901" width="9.7109375" style="48" customWidth="1"/>
    <col min="5902" max="5902" width="0" style="48" hidden="1" customWidth="1"/>
    <col min="5903" max="6143" width="8.85546875" style="48"/>
    <col min="6144" max="6144" width="16.140625" style="48" customWidth="1"/>
    <col min="6145" max="6145" width="8.7109375" style="48" customWidth="1"/>
    <col min="6146" max="6146" width="0" style="48" hidden="1" customWidth="1"/>
    <col min="6147" max="6147" width="13.5703125" style="48" customWidth="1"/>
    <col min="6148" max="6148" width="15.7109375" style="48" customWidth="1"/>
    <col min="6149" max="6149" width="14.7109375" style="48" customWidth="1"/>
    <col min="6150" max="6150" width="2.140625" style="48" customWidth="1"/>
    <col min="6151" max="6151" width="16.42578125" style="48" customWidth="1"/>
    <col min="6152" max="6152" width="15.7109375" style="48" customWidth="1"/>
    <col min="6153" max="6153" width="16.28515625" style="48" bestFit="1" customWidth="1"/>
    <col min="6154" max="6154" width="18.7109375" style="48" customWidth="1"/>
    <col min="6155" max="6155" width="9.140625" style="48" customWidth="1"/>
    <col min="6156" max="6156" width="14.42578125" style="48" customWidth="1"/>
    <col min="6157" max="6157" width="9.7109375" style="48" customWidth="1"/>
    <col min="6158" max="6158" width="0" style="48" hidden="1" customWidth="1"/>
    <col min="6159" max="6399" width="8.85546875" style="48"/>
    <col min="6400" max="6400" width="16.140625" style="48" customWidth="1"/>
    <col min="6401" max="6401" width="8.7109375" style="48" customWidth="1"/>
    <col min="6402" max="6402" width="0" style="48" hidden="1" customWidth="1"/>
    <col min="6403" max="6403" width="13.5703125" style="48" customWidth="1"/>
    <col min="6404" max="6404" width="15.7109375" style="48" customWidth="1"/>
    <col min="6405" max="6405" width="14.7109375" style="48" customWidth="1"/>
    <col min="6406" max="6406" width="2.140625" style="48" customWidth="1"/>
    <col min="6407" max="6407" width="16.42578125" style="48" customWidth="1"/>
    <col min="6408" max="6408" width="15.7109375" style="48" customWidth="1"/>
    <col min="6409" max="6409" width="16.28515625" style="48" bestFit="1" customWidth="1"/>
    <col min="6410" max="6410" width="18.7109375" style="48" customWidth="1"/>
    <col min="6411" max="6411" width="9.140625" style="48" customWidth="1"/>
    <col min="6412" max="6412" width="14.42578125" style="48" customWidth="1"/>
    <col min="6413" max="6413" width="9.7109375" style="48" customWidth="1"/>
    <col min="6414" max="6414" width="0" style="48" hidden="1" customWidth="1"/>
    <col min="6415" max="6655" width="8.85546875" style="48"/>
    <col min="6656" max="6656" width="16.140625" style="48" customWidth="1"/>
    <col min="6657" max="6657" width="8.7109375" style="48" customWidth="1"/>
    <col min="6658" max="6658" width="0" style="48" hidden="1" customWidth="1"/>
    <col min="6659" max="6659" width="13.5703125" style="48" customWidth="1"/>
    <col min="6660" max="6660" width="15.7109375" style="48" customWidth="1"/>
    <col min="6661" max="6661" width="14.7109375" style="48" customWidth="1"/>
    <col min="6662" max="6662" width="2.140625" style="48" customWidth="1"/>
    <col min="6663" max="6663" width="16.42578125" style="48" customWidth="1"/>
    <col min="6664" max="6664" width="15.7109375" style="48" customWidth="1"/>
    <col min="6665" max="6665" width="16.28515625" style="48" bestFit="1" customWidth="1"/>
    <col min="6666" max="6666" width="18.7109375" style="48" customWidth="1"/>
    <col min="6667" max="6667" width="9.140625" style="48" customWidth="1"/>
    <col min="6668" max="6668" width="14.42578125" style="48" customWidth="1"/>
    <col min="6669" max="6669" width="9.7109375" style="48" customWidth="1"/>
    <col min="6670" max="6670" width="0" style="48" hidden="1" customWidth="1"/>
    <col min="6671" max="6911" width="8.85546875" style="48"/>
    <col min="6912" max="6912" width="16.140625" style="48" customWidth="1"/>
    <col min="6913" max="6913" width="8.7109375" style="48" customWidth="1"/>
    <col min="6914" max="6914" width="0" style="48" hidden="1" customWidth="1"/>
    <col min="6915" max="6915" width="13.5703125" style="48" customWidth="1"/>
    <col min="6916" max="6916" width="15.7109375" style="48" customWidth="1"/>
    <col min="6917" max="6917" width="14.7109375" style="48" customWidth="1"/>
    <col min="6918" max="6918" width="2.140625" style="48" customWidth="1"/>
    <col min="6919" max="6919" width="16.42578125" style="48" customWidth="1"/>
    <col min="6920" max="6920" width="15.7109375" style="48" customWidth="1"/>
    <col min="6921" max="6921" width="16.28515625" style="48" bestFit="1" customWidth="1"/>
    <col min="6922" max="6922" width="18.7109375" style="48" customWidth="1"/>
    <col min="6923" max="6923" width="9.140625" style="48" customWidth="1"/>
    <col min="6924" max="6924" width="14.42578125" style="48" customWidth="1"/>
    <col min="6925" max="6925" width="9.7109375" style="48" customWidth="1"/>
    <col min="6926" max="6926" width="0" style="48" hidden="1" customWidth="1"/>
    <col min="6927" max="7167" width="8.85546875" style="48"/>
    <col min="7168" max="7168" width="16.140625" style="48" customWidth="1"/>
    <col min="7169" max="7169" width="8.7109375" style="48" customWidth="1"/>
    <col min="7170" max="7170" width="0" style="48" hidden="1" customWidth="1"/>
    <col min="7171" max="7171" width="13.5703125" style="48" customWidth="1"/>
    <col min="7172" max="7172" width="15.7109375" style="48" customWidth="1"/>
    <col min="7173" max="7173" width="14.7109375" style="48" customWidth="1"/>
    <col min="7174" max="7174" width="2.140625" style="48" customWidth="1"/>
    <col min="7175" max="7175" width="16.42578125" style="48" customWidth="1"/>
    <col min="7176" max="7176" width="15.7109375" style="48" customWidth="1"/>
    <col min="7177" max="7177" width="16.28515625" style="48" bestFit="1" customWidth="1"/>
    <col min="7178" max="7178" width="18.7109375" style="48" customWidth="1"/>
    <col min="7179" max="7179" width="9.140625" style="48" customWidth="1"/>
    <col min="7180" max="7180" width="14.42578125" style="48" customWidth="1"/>
    <col min="7181" max="7181" width="9.7109375" style="48" customWidth="1"/>
    <col min="7182" max="7182" width="0" style="48" hidden="1" customWidth="1"/>
    <col min="7183" max="7423" width="8.85546875" style="48"/>
    <col min="7424" max="7424" width="16.140625" style="48" customWidth="1"/>
    <col min="7425" max="7425" width="8.7109375" style="48" customWidth="1"/>
    <col min="7426" max="7426" width="0" style="48" hidden="1" customWidth="1"/>
    <col min="7427" max="7427" width="13.5703125" style="48" customWidth="1"/>
    <col min="7428" max="7428" width="15.7109375" style="48" customWidth="1"/>
    <col min="7429" max="7429" width="14.7109375" style="48" customWidth="1"/>
    <col min="7430" max="7430" width="2.140625" style="48" customWidth="1"/>
    <col min="7431" max="7431" width="16.42578125" style="48" customWidth="1"/>
    <col min="7432" max="7432" width="15.7109375" style="48" customWidth="1"/>
    <col min="7433" max="7433" width="16.28515625" style="48" bestFit="1" customWidth="1"/>
    <col min="7434" max="7434" width="18.7109375" style="48" customWidth="1"/>
    <col min="7435" max="7435" width="9.140625" style="48" customWidth="1"/>
    <col min="7436" max="7436" width="14.42578125" style="48" customWidth="1"/>
    <col min="7437" max="7437" width="9.7109375" style="48" customWidth="1"/>
    <col min="7438" max="7438" width="0" style="48" hidden="1" customWidth="1"/>
    <col min="7439" max="7679" width="8.85546875" style="48"/>
    <col min="7680" max="7680" width="16.140625" style="48" customWidth="1"/>
    <col min="7681" max="7681" width="8.7109375" style="48" customWidth="1"/>
    <col min="7682" max="7682" width="0" style="48" hidden="1" customWidth="1"/>
    <col min="7683" max="7683" width="13.5703125" style="48" customWidth="1"/>
    <col min="7684" max="7684" width="15.7109375" style="48" customWidth="1"/>
    <col min="7685" max="7685" width="14.7109375" style="48" customWidth="1"/>
    <col min="7686" max="7686" width="2.140625" style="48" customWidth="1"/>
    <col min="7687" max="7687" width="16.42578125" style="48" customWidth="1"/>
    <col min="7688" max="7688" width="15.7109375" style="48" customWidth="1"/>
    <col min="7689" max="7689" width="16.28515625" style="48" bestFit="1" customWidth="1"/>
    <col min="7690" max="7690" width="18.7109375" style="48" customWidth="1"/>
    <col min="7691" max="7691" width="9.140625" style="48" customWidth="1"/>
    <col min="7692" max="7692" width="14.42578125" style="48" customWidth="1"/>
    <col min="7693" max="7693" width="9.7109375" style="48" customWidth="1"/>
    <col min="7694" max="7694" width="0" style="48" hidden="1" customWidth="1"/>
    <col min="7695" max="7935" width="8.85546875" style="48"/>
    <col min="7936" max="7936" width="16.140625" style="48" customWidth="1"/>
    <col min="7937" max="7937" width="8.7109375" style="48" customWidth="1"/>
    <col min="7938" max="7938" width="0" style="48" hidden="1" customWidth="1"/>
    <col min="7939" max="7939" width="13.5703125" style="48" customWidth="1"/>
    <col min="7940" max="7940" width="15.7109375" style="48" customWidth="1"/>
    <col min="7941" max="7941" width="14.7109375" style="48" customWidth="1"/>
    <col min="7942" max="7942" width="2.140625" style="48" customWidth="1"/>
    <col min="7943" max="7943" width="16.42578125" style="48" customWidth="1"/>
    <col min="7944" max="7944" width="15.7109375" style="48" customWidth="1"/>
    <col min="7945" max="7945" width="16.28515625" style="48" bestFit="1" customWidth="1"/>
    <col min="7946" max="7946" width="18.7109375" style="48" customWidth="1"/>
    <col min="7947" max="7947" width="9.140625" style="48" customWidth="1"/>
    <col min="7948" max="7948" width="14.42578125" style="48" customWidth="1"/>
    <col min="7949" max="7949" width="9.7109375" style="48" customWidth="1"/>
    <col min="7950" max="7950" width="0" style="48" hidden="1" customWidth="1"/>
    <col min="7951" max="8191" width="8.85546875" style="48"/>
    <col min="8192" max="8192" width="16.140625" style="48" customWidth="1"/>
    <col min="8193" max="8193" width="8.7109375" style="48" customWidth="1"/>
    <col min="8194" max="8194" width="0" style="48" hidden="1" customWidth="1"/>
    <col min="8195" max="8195" width="13.5703125" style="48" customWidth="1"/>
    <col min="8196" max="8196" width="15.7109375" style="48" customWidth="1"/>
    <col min="8197" max="8197" width="14.7109375" style="48" customWidth="1"/>
    <col min="8198" max="8198" width="2.140625" style="48" customWidth="1"/>
    <col min="8199" max="8199" width="16.42578125" style="48" customWidth="1"/>
    <col min="8200" max="8200" width="15.7109375" style="48" customWidth="1"/>
    <col min="8201" max="8201" width="16.28515625" style="48" bestFit="1" customWidth="1"/>
    <col min="8202" max="8202" width="18.7109375" style="48" customWidth="1"/>
    <col min="8203" max="8203" width="9.140625" style="48" customWidth="1"/>
    <col min="8204" max="8204" width="14.42578125" style="48" customWidth="1"/>
    <col min="8205" max="8205" width="9.7109375" style="48" customWidth="1"/>
    <col min="8206" max="8206" width="0" style="48" hidden="1" customWidth="1"/>
    <col min="8207" max="8447" width="8.85546875" style="48"/>
    <col min="8448" max="8448" width="16.140625" style="48" customWidth="1"/>
    <col min="8449" max="8449" width="8.7109375" style="48" customWidth="1"/>
    <col min="8450" max="8450" width="0" style="48" hidden="1" customWidth="1"/>
    <col min="8451" max="8451" width="13.5703125" style="48" customWidth="1"/>
    <col min="8452" max="8452" width="15.7109375" style="48" customWidth="1"/>
    <col min="8453" max="8453" width="14.7109375" style="48" customWidth="1"/>
    <col min="8454" max="8454" width="2.140625" style="48" customWidth="1"/>
    <col min="8455" max="8455" width="16.42578125" style="48" customWidth="1"/>
    <col min="8456" max="8456" width="15.7109375" style="48" customWidth="1"/>
    <col min="8457" max="8457" width="16.28515625" style="48" bestFit="1" customWidth="1"/>
    <col min="8458" max="8458" width="18.7109375" style="48" customWidth="1"/>
    <col min="8459" max="8459" width="9.140625" style="48" customWidth="1"/>
    <col min="8460" max="8460" width="14.42578125" style="48" customWidth="1"/>
    <col min="8461" max="8461" width="9.7109375" style="48" customWidth="1"/>
    <col min="8462" max="8462" width="0" style="48" hidden="1" customWidth="1"/>
    <col min="8463" max="8703" width="8.85546875" style="48"/>
    <col min="8704" max="8704" width="16.140625" style="48" customWidth="1"/>
    <col min="8705" max="8705" width="8.7109375" style="48" customWidth="1"/>
    <col min="8706" max="8706" width="0" style="48" hidden="1" customWidth="1"/>
    <col min="8707" max="8707" width="13.5703125" style="48" customWidth="1"/>
    <col min="8708" max="8708" width="15.7109375" style="48" customWidth="1"/>
    <col min="8709" max="8709" width="14.7109375" style="48" customWidth="1"/>
    <col min="8710" max="8710" width="2.140625" style="48" customWidth="1"/>
    <col min="8711" max="8711" width="16.42578125" style="48" customWidth="1"/>
    <col min="8712" max="8712" width="15.7109375" style="48" customWidth="1"/>
    <col min="8713" max="8713" width="16.28515625" style="48" bestFit="1" customWidth="1"/>
    <col min="8714" max="8714" width="18.7109375" style="48" customWidth="1"/>
    <col min="8715" max="8715" width="9.140625" style="48" customWidth="1"/>
    <col min="8716" max="8716" width="14.42578125" style="48" customWidth="1"/>
    <col min="8717" max="8717" width="9.7109375" style="48" customWidth="1"/>
    <col min="8718" max="8718" width="0" style="48" hidden="1" customWidth="1"/>
    <col min="8719" max="8959" width="8.85546875" style="48"/>
    <col min="8960" max="8960" width="16.140625" style="48" customWidth="1"/>
    <col min="8961" max="8961" width="8.7109375" style="48" customWidth="1"/>
    <col min="8962" max="8962" width="0" style="48" hidden="1" customWidth="1"/>
    <col min="8963" max="8963" width="13.5703125" style="48" customWidth="1"/>
    <col min="8964" max="8964" width="15.7109375" style="48" customWidth="1"/>
    <col min="8965" max="8965" width="14.7109375" style="48" customWidth="1"/>
    <col min="8966" max="8966" width="2.140625" style="48" customWidth="1"/>
    <col min="8967" max="8967" width="16.42578125" style="48" customWidth="1"/>
    <col min="8968" max="8968" width="15.7109375" style="48" customWidth="1"/>
    <col min="8969" max="8969" width="16.28515625" style="48" bestFit="1" customWidth="1"/>
    <col min="8970" max="8970" width="18.7109375" style="48" customWidth="1"/>
    <col min="8971" max="8971" width="9.140625" style="48" customWidth="1"/>
    <col min="8972" max="8972" width="14.42578125" style="48" customWidth="1"/>
    <col min="8973" max="8973" width="9.7109375" style="48" customWidth="1"/>
    <col min="8974" max="8974" width="0" style="48" hidden="1" customWidth="1"/>
    <col min="8975" max="9215" width="8.85546875" style="48"/>
    <col min="9216" max="9216" width="16.140625" style="48" customWidth="1"/>
    <col min="9217" max="9217" width="8.7109375" style="48" customWidth="1"/>
    <col min="9218" max="9218" width="0" style="48" hidden="1" customWidth="1"/>
    <col min="9219" max="9219" width="13.5703125" style="48" customWidth="1"/>
    <col min="9220" max="9220" width="15.7109375" style="48" customWidth="1"/>
    <col min="9221" max="9221" width="14.7109375" style="48" customWidth="1"/>
    <col min="9222" max="9222" width="2.140625" style="48" customWidth="1"/>
    <col min="9223" max="9223" width="16.42578125" style="48" customWidth="1"/>
    <col min="9224" max="9224" width="15.7109375" style="48" customWidth="1"/>
    <col min="9225" max="9225" width="16.28515625" style="48" bestFit="1" customWidth="1"/>
    <col min="9226" max="9226" width="18.7109375" style="48" customWidth="1"/>
    <col min="9227" max="9227" width="9.140625" style="48" customWidth="1"/>
    <col min="9228" max="9228" width="14.42578125" style="48" customWidth="1"/>
    <col min="9229" max="9229" width="9.7109375" style="48" customWidth="1"/>
    <col min="9230" max="9230" width="0" style="48" hidden="1" customWidth="1"/>
    <col min="9231" max="9471" width="8.85546875" style="48"/>
    <col min="9472" max="9472" width="16.140625" style="48" customWidth="1"/>
    <col min="9473" max="9473" width="8.7109375" style="48" customWidth="1"/>
    <col min="9474" max="9474" width="0" style="48" hidden="1" customWidth="1"/>
    <col min="9475" max="9475" width="13.5703125" style="48" customWidth="1"/>
    <col min="9476" max="9476" width="15.7109375" style="48" customWidth="1"/>
    <col min="9477" max="9477" width="14.7109375" style="48" customWidth="1"/>
    <col min="9478" max="9478" width="2.140625" style="48" customWidth="1"/>
    <col min="9479" max="9479" width="16.42578125" style="48" customWidth="1"/>
    <col min="9480" max="9480" width="15.7109375" style="48" customWidth="1"/>
    <col min="9481" max="9481" width="16.28515625" style="48" bestFit="1" customWidth="1"/>
    <col min="9482" max="9482" width="18.7109375" style="48" customWidth="1"/>
    <col min="9483" max="9483" width="9.140625" style="48" customWidth="1"/>
    <col min="9484" max="9484" width="14.42578125" style="48" customWidth="1"/>
    <col min="9485" max="9485" width="9.7109375" style="48" customWidth="1"/>
    <col min="9486" max="9486" width="0" style="48" hidden="1" customWidth="1"/>
    <col min="9487" max="9727" width="8.85546875" style="48"/>
    <col min="9728" max="9728" width="16.140625" style="48" customWidth="1"/>
    <col min="9729" max="9729" width="8.7109375" style="48" customWidth="1"/>
    <col min="9730" max="9730" width="0" style="48" hidden="1" customWidth="1"/>
    <col min="9731" max="9731" width="13.5703125" style="48" customWidth="1"/>
    <col min="9732" max="9732" width="15.7109375" style="48" customWidth="1"/>
    <col min="9733" max="9733" width="14.7109375" style="48" customWidth="1"/>
    <col min="9734" max="9734" width="2.140625" style="48" customWidth="1"/>
    <col min="9735" max="9735" width="16.42578125" style="48" customWidth="1"/>
    <col min="9736" max="9736" width="15.7109375" style="48" customWidth="1"/>
    <col min="9737" max="9737" width="16.28515625" style="48" bestFit="1" customWidth="1"/>
    <col min="9738" max="9738" width="18.7109375" style="48" customWidth="1"/>
    <col min="9739" max="9739" width="9.140625" style="48" customWidth="1"/>
    <col min="9740" max="9740" width="14.42578125" style="48" customWidth="1"/>
    <col min="9741" max="9741" width="9.7109375" style="48" customWidth="1"/>
    <col min="9742" max="9742" width="0" style="48" hidden="1" customWidth="1"/>
    <col min="9743" max="9983" width="8.85546875" style="48"/>
    <col min="9984" max="9984" width="16.140625" style="48" customWidth="1"/>
    <col min="9985" max="9985" width="8.7109375" style="48" customWidth="1"/>
    <col min="9986" max="9986" width="0" style="48" hidden="1" customWidth="1"/>
    <col min="9987" max="9987" width="13.5703125" style="48" customWidth="1"/>
    <col min="9988" max="9988" width="15.7109375" style="48" customWidth="1"/>
    <col min="9989" max="9989" width="14.7109375" style="48" customWidth="1"/>
    <col min="9990" max="9990" width="2.140625" style="48" customWidth="1"/>
    <col min="9991" max="9991" width="16.42578125" style="48" customWidth="1"/>
    <col min="9992" max="9992" width="15.7109375" style="48" customWidth="1"/>
    <col min="9993" max="9993" width="16.28515625" style="48" bestFit="1" customWidth="1"/>
    <col min="9994" max="9994" width="18.7109375" style="48" customWidth="1"/>
    <col min="9995" max="9995" width="9.140625" style="48" customWidth="1"/>
    <col min="9996" max="9996" width="14.42578125" style="48" customWidth="1"/>
    <col min="9997" max="9997" width="9.7109375" style="48" customWidth="1"/>
    <col min="9998" max="9998" width="0" style="48" hidden="1" customWidth="1"/>
    <col min="9999" max="10239" width="8.85546875" style="48"/>
    <col min="10240" max="10240" width="16.140625" style="48" customWidth="1"/>
    <col min="10241" max="10241" width="8.7109375" style="48" customWidth="1"/>
    <col min="10242" max="10242" width="0" style="48" hidden="1" customWidth="1"/>
    <col min="10243" max="10243" width="13.5703125" style="48" customWidth="1"/>
    <col min="10244" max="10244" width="15.7109375" style="48" customWidth="1"/>
    <col min="10245" max="10245" width="14.7109375" style="48" customWidth="1"/>
    <col min="10246" max="10246" width="2.140625" style="48" customWidth="1"/>
    <col min="10247" max="10247" width="16.42578125" style="48" customWidth="1"/>
    <col min="10248" max="10248" width="15.7109375" style="48" customWidth="1"/>
    <col min="10249" max="10249" width="16.28515625" style="48" bestFit="1" customWidth="1"/>
    <col min="10250" max="10250" width="18.7109375" style="48" customWidth="1"/>
    <col min="10251" max="10251" width="9.140625" style="48" customWidth="1"/>
    <col min="10252" max="10252" width="14.42578125" style="48" customWidth="1"/>
    <col min="10253" max="10253" width="9.7109375" style="48" customWidth="1"/>
    <col min="10254" max="10254" width="0" style="48" hidden="1" customWidth="1"/>
    <col min="10255" max="10495" width="8.85546875" style="48"/>
    <col min="10496" max="10496" width="16.140625" style="48" customWidth="1"/>
    <col min="10497" max="10497" width="8.7109375" style="48" customWidth="1"/>
    <col min="10498" max="10498" width="0" style="48" hidden="1" customWidth="1"/>
    <col min="10499" max="10499" width="13.5703125" style="48" customWidth="1"/>
    <col min="10500" max="10500" width="15.7109375" style="48" customWidth="1"/>
    <col min="10501" max="10501" width="14.7109375" style="48" customWidth="1"/>
    <col min="10502" max="10502" width="2.140625" style="48" customWidth="1"/>
    <col min="10503" max="10503" width="16.42578125" style="48" customWidth="1"/>
    <col min="10504" max="10504" width="15.7109375" style="48" customWidth="1"/>
    <col min="10505" max="10505" width="16.28515625" style="48" bestFit="1" customWidth="1"/>
    <col min="10506" max="10506" width="18.7109375" style="48" customWidth="1"/>
    <col min="10507" max="10507" width="9.140625" style="48" customWidth="1"/>
    <col min="10508" max="10508" width="14.42578125" style="48" customWidth="1"/>
    <col min="10509" max="10509" width="9.7109375" style="48" customWidth="1"/>
    <col min="10510" max="10510" width="0" style="48" hidden="1" customWidth="1"/>
    <col min="10511" max="10751" width="8.85546875" style="48"/>
    <col min="10752" max="10752" width="16.140625" style="48" customWidth="1"/>
    <col min="10753" max="10753" width="8.7109375" style="48" customWidth="1"/>
    <col min="10754" max="10754" width="0" style="48" hidden="1" customWidth="1"/>
    <col min="10755" max="10755" width="13.5703125" style="48" customWidth="1"/>
    <col min="10756" max="10756" width="15.7109375" style="48" customWidth="1"/>
    <col min="10757" max="10757" width="14.7109375" style="48" customWidth="1"/>
    <col min="10758" max="10758" width="2.140625" style="48" customWidth="1"/>
    <col min="10759" max="10759" width="16.42578125" style="48" customWidth="1"/>
    <col min="10760" max="10760" width="15.7109375" style="48" customWidth="1"/>
    <col min="10761" max="10761" width="16.28515625" style="48" bestFit="1" customWidth="1"/>
    <col min="10762" max="10762" width="18.7109375" style="48" customWidth="1"/>
    <col min="10763" max="10763" width="9.140625" style="48" customWidth="1"/>
    <col min="10764" max="10764" width="14.42578125" style="48" customWidth="1"/>
    <col min="10765" max="10765" width="9.7109375" style="48" customWidth="1"/>
    <col min="10766" max="10766" width="0" style="48" hidden="1" customWidth="1"/>
    <col min="10767" max="11007" width="8.85546875" style="48"/>
    <col min="11008" max="11008" width="16.140625" style="48" customWidth="1"/>
    <col min="11009" max="11009" width="8.7109375" style="48" customWidth="1"/>
    <col min="11010" max="11010" width="0" style="48" hidden="1" customWidth="1"/>
    <col min="11011" max="11011" width="13.5703125" style="48" customWidth="1"/>
    <col min="11012" max="11012" width="15.7109375" style="48" customWidth="1"/>
    <col min="11013" max="11013" width="14.7109375" style="48" customWidth="1"/>
    <col min="11014" max="11014" width="2.140625" style="48" customWidth="1"/>
    <col min="11015" max="11015" width="16.42578125" style="48" customWidth="1"/>
    <col min="11016" max="11016" width="15.7109375" style="48" customWidth="1"/>
    <col min="11017" max="11017" width="16.28515625" style="48" bestFit="1" customWidth="1"/>
    <col min="11018" max="11018" width="18.7109375" style="48" customWidth="1"/>
    <col min="11019" max="11019" width="9.140625" style="48" customWidth="1"/>
    <col min="11020" max="11020" width="14.42578125" style="48" customWidth="1"/>
    <col min="11021" max="11021" width="9.7109375" style="48" customWidth="1"/>
    <col min="11022" max="11022" width="0" style="48" hidden="1" customWidth="1"/>
    <col min="11023" max="11263" width="8.85546875" style="48"/>
    <col min="11264" max="11264" width="16.140625" style="48" customWidth="1"/>
    <col min="11265" max="11265" width="8.7109375" style="48" customWidth="1"/>
    <col min="11266" max="11266" width="0" style="48" hidden="1" customWidth="1"/>
    <col min="11267" max="11267" width="13.5703125" style="48" customWidth="1"/>
    <col min="11268" max="11268" width="15.7109375" style="48" customWidth="1"/>
    <col min="11269" max="11269" width="14.7109375" style="48" customWidth="1"/>
    <col min="11270" max="11270" width="2.140625" style="48" customWidth="1"/>
    <col min="11271" max="11271" width="16.42578125" style="48" customWidth="1"/>
    <col min="11272" max="11272" width="15.7109375" style="48" customWidth="1"/>
    <col min="11273" max="11273" width="16.28515625" style="48" bestFit="1" customWidth="1"/>
    <col min="11274" max="11274" width="18.7109375" style="48" customWidth="1"/>
    <col min="11275" max="11275" width="9.140625" style="48" customWidth="1"/>
    <col min="11276" max="11276" width="14.42578125" style="48" customWidth="1"/>
    <col min="11277" max="11277" width="9.7109375" style="48" customWidth="1"/>
    <col min="11278" max="11278" width="0" style="48" hidden="1" customWidth="1"/>
    <col min="11279" max="11519" width="8.85546875" style="48"/>
    <col min="11520" max="11520" width="16.140625" style="48" customWidth="1"/>
    <col min="11521" max="11521" width="8.7109375" style="48" customWidth="1"/>
    <col min="11522" max="11522" width="0" style="48" hidden="1" customWidth="1"/>
    <col min="11523" max="11523" width="13.5703125" style="48" customWidth="1"/>
    <col min="11524" max="11524" width="15.7109375" style="48" customWidth="1"/>
    <col min="11525" max="11525" width="14.7109375" style="48" customWidth="1"/>
    <col min="11526" max="11526" width="2.140625" style="48" customWidth="1"/>
    <col min="11527" max="11527" width="16.42578125" style="48" customWidth="1"/>
    <col min="11528" max="11528" width="15.7109375" style="48" customWidth="1"/>
    <col min="11529" max="11529" width="16.28515625" style="48" bestFit="1" customWidth="1"/>
    <col min="11530" max="11530" width="18.7109375" style="48" customWidth="1"/>
    <col min="11531" max="11531" width="9.140625" style="48" customWidth="1"/>
    <col min="11532" max="11532" width="14.42578125" style="48" customWidth="1"/>
    <col min="11533" max="11533" width="9.7109375" style="48" customWidth="1"/>
    <col min="11534" max="11534" width="0" style="48" hidden="1" customWidth="1"/>
    <col min="11535" max="11775" width="8.85546875" style="48"/>
    <col min="11776" max="11776" width="16.140625" style="48" customWidth="1"/>
    <col min="11777" max="11777" width="8.7109375" style="48" customWidth="1"/>
    <col min="11778" max="11778" width="0" style="48" hidden="1" customWidth="1"/>
    <col min="11779" max="11779" width="13.5703125" style="48" customWidth="1"/>
    <col min="11780" max="11780" width="15.7109375" style="48" customWidth="1"/>
    <col min="11781" max="11781" width="14.7109375" style="48" customWidth="1"/>
    <col min="11782" max="11782" width="2.140625" style="48" customWidth="1"/>
    <col min="11783" max="11783" width="16.42578125" style="48" customWidth="1"/>
    <col min="11784" max="11784" width="15.7109375" style="48" customWidth="1"/>
    <col min="11785" max="11785" width="16.28515625" style="48" bestFit="1" customWidth="1"/>
    <col min="11786" max="11786" width="18.7109375" style="48" customWidth="1"/>
    <col min="11787" max="11787" width="9.140625" style="48" customWidth="1"/>
    <col min="11788" max="11788" width="14.42578125" style="48" customWidth="1"/>
    <col min="11789" max="11789" width="9.7109375" style="48" customWidth="1"/>
    <col min="11790" max="11790" width="0" style="48" hidden="1" customWidth="1"/>
    <col min="11791" max="12031" width="8.85546875" style="48"/>
    <col min="12032" max="12032" width="16.140625" style="48" customWidth="1"/>
    <col min="12033" max="12033" width="8.7109375" style="48" customWidth="1"/>
    <col min="12034" max="12034" width="0" style="48" hidden="1" customWidth="1"/>
    <col min="12035" max="12035" width="13.5703125" style="48" customWidth="1"/>
    <col min="12036" max="12036" width="15.7109375" style="48" customWidth="1"/>
    <col min="12037" max="12037" width="14.7109375" style="48" customWidth="1"/>
    <col min="12038" max="12038" width="2.140625" style="48" customWidth="1"/>
    <col min="12039" max="12039" width="16.42578125" style="48" customWidth="1"/>
    <col min="12040" max="12040" width="15.7109375" style="48" customWidth="1"/>
    <col min="12041" max="12041" width="16.28515625" style="48" bestFit="1" customWidth="1"/>
    <col min="12042" max="12042" width="18.7109375" style="48" customWidth="1"/>
    <col min="12043" max="12043" width="9.140625" style="48" customWidth="1"/>
    <col min="12044" max="12044" width="14.42578125" style="48" customWidth="1"/>
    <col min="12045" max="12045" width="9.7109375" style="48" customWidth="1"/>
    <col min="12046" max="12046" width="0" style="48" hidden="1" customWidth="1"/>
    <col min="12047" max="12287" width="8.85546875" style="48"/>
    <col min="12288" max="12288" width="16.140625" style="48" customWidth="1"/>
    <col min="12289" max="12289" width="8.7109375" style="48" customWidth="1"/>
    <col min="12290" max="12290" width="0" style="48" hidden="1" customWidth="1"/>
    <col min="12291" max="12291" width="13.5703125" style="48" customWidth="1"/>
    <col min="12292" max="12292" width="15.7109375" style="48" customWidth="1"/>
    <col min="12293" max="12293" width="14.7109375" style="48" customWidth="1"/>
    <col min="12294" max="12294" width="2.140625" style="48" customWidth="1"/>
    <col min="12295" max="12295" width="16.42578125" style="48" customWidth="1"/>
    <col min="12296" max="12296" width="15.7109375" style="48" customWidth="1"/>
    <col min="12297" max="12297" width="16.28515625" style="48" bestFit="1" customWidth="1"/>
    <col min="12298" max="12298" width="18.7109375" style="48" customWidth="1"/>
    <col min="12299" max="12299" width="9.140625" style="48" customWidth="1"/>
    <col min="12300" max="12300" width="14.42578125" style="48" customWidth="1"/>
    <col min="12301" max="12301" width="9.7109375" style="48" customWidth="1"/>
    <col min="12302" max="12302" width="0" style="48" hidden="1" customWidth="1"/>
    <col min="12303" max="12543" width="8.85546875" style="48"/>
    <col min="12544" max="12544" width="16.140625" style="48" customWidth="1"/>
    <col min="12545" max="12545" width="8.7109375" style="48" customWidth="1"/>
    <col min="12546" max="12546" width="0" style="48" hidden="1" customWidth="1"/>
    <col min="12547" max="12547" width="13.5703125" style="48" customWidth="1"/>
    <col min="12548" max="12548" width="15.7109375" style="48" customWidth="1"/>
    <col min="12549" max="12549" width="14.7109375" style="48" customWidth="1"/>
    <col min="12550" max="12550" width="2.140625" style="48" customWidth="1"/>
    <col min="12551" max="12551" width="16.42578125" style="48" customWidth="1"/>
    <col min="12552" max="12552" width="15.7109375" style="48" customWidth="1"/>
    <col min="12553" max="12553" width="16.28515625" style="48" bestFit="1" customWidth="1"/>
    <col min="12554" max="12554" width="18.7109375" style="48" customWidth="1"/>
    <col min="12555" max="12555" width="9.140625" style="48" customWidth="1"/>
    <col min="12556" max="12556" width="14.42578125" style="48" customWidth="1"/>
    <col min="12557" max="12557" width="9.7109375" style="48" customWidth="1"/>
    <col min="12558" max="12558" width="0" style="48" hidden="1" customWidth="1"/>
    <col min="12559" max="12799" width="8.85546875" style="48"/>
    <col min="12800" max="12800" width="16.140625" style="48" customWidth="1"/>
    <col min="12801" max="12801" width="8.7109375" style="48" customWidth="1"/>
    <col min="12802" max="12802" width="0" style="48" hidden="1" customWidth="1"/>
    <col min="12803" max="12803" width="13.5703125" style="48" customWidth="1"/>
    <col min="12804" max="12804" width="15.7109375" style="48" customWidth="1"/>
    <col min="12805" max="12805" width="14.7109375" style="48" customWidth="1"/>
    <col min="12806" max="12806" width="2.140625" style="48" customWidth="1"/>
    <col min="12807" max="12807" width="16.42578125" style="48" customWidth="1"/>
    <col min="12808" max="12808" width="15.7109375" style="48" customWidth="1"/>
    <col min="12809" max="12809" width="16.28515625" style="48" bestFit="1" customWidth="1"/>
    <col min="12810" max="12810" width="18.7109375" style="48" customWidth="1"/>
    <col min="12811" max="12811" width="9.140625" style="48" customWidth="1"/>
    <col min="12812" max="12812" width="14.42578125" style="48" customWidth="1"/>
    <col min="12813" max="12813" width="9.7109375" style="48" customWidth="1"/>
    <col min="12814" max="12814" width="0" style="48" hidden="1" customWidth="1"/>
    <col min="12815" max="13055" width="8.85546875" style="48"/>
    <col min="13056" max="13056" width="16.140625" style="48" customWidth="1"/>
    <col min="13057" max="13057" width="8.7109375" style="48" customWidth="1"/>
    <col min="13058" max="13058" width="0" style="48" hidden="1" customWidth="1"/>
    <col min="13059" max="13059" width="13.5703125" style="48" customWidth="1"/>
    <col min="13060" max="13060" width="15.7109375" style="48" customWidth="1"/>
    <col min="13061" max="13061" width="14.7109375" style="48" customWidth="1"/>
    <col min="13062" max="13062" width="2.140625" style="48" customWidth="1"/>
    <col min="13063" max="13063" width="16.42578125" style="48" customWidth="1"/>
    <col min="13064" max="13064" width="15.7109375" style="48" customWidth="1"/>
    <col min="13065" max="13065" width="16.28515625" style="48" bestFit="1" customWidth="1"/>
    <col min="13066" max="13066" width="18.7109375" style="48" customWidth="1"/>
    <col min="13067" max="13067" width="9.140625" style="48" customWidth="1"/>
    <col min="13068" max="13068" width="14.42578125" style="48" customWidth="1"/>
    <col min="13069" max="13069" width="9.7109375" style="48" customWidth="1"/>
    <col min="13070" max="13070" width="0" style="48" hidden="1" customWidth="1"/>
    <col min="13071" max="13311" width="8.85546875" style="48"/>
    <col min="13312" max="13312" width="16.140625" style="48" customWidth="1"/>
    <col min="13313" max="13313" width="8.7109375" style="48" customWidth="1"/>
    <col min="13314" max="13314" width="0" style="48" hidden="1" customWidth="1"/>
    <col min="13315" max="13315" width="13.5703125" style="48" customWidth="1"/>
    <col min="13316" max="13316" width="15.7109375" style="48" customWidth="1"/>
    <col min="13317" max="13317" width="14.7109375" style="48" customWidth="1"/>
    <col min="13318" max="13318" width="2.140625" style="48" customWidth="1"/>
    <col min="13319" max="13319" width="16.42578125" style="48" customWidth="1"/>
    <col min="13320" max="13320" width="15.7109375" style="48" customWidth="1"/>
    <col min="13321" max="13321" width="16.28515625" style="48" bestFit="1" customWidth="1"/>
    <col min="13322" max="13322" width="18.7109375" style="48" customWidth="1"/>
    <col min="13323" max="13323" width="9.140625" style="48" customWidth="1"/>
    <col min="13324" max="13324" width="14.42578125" style="48" customWidth="1"/>
    <col min="13325" max="13325" width="9.7109375" style="48" customWidth="1"/>
    <col min="13326" max="13326" width="0" style="48" hidden="1" customWidth="1"/>
    <col min="13327" max="13567" width="8.85546875" style="48"/>
    <col min="13568" max="13568" width="16.140625" style="48" customWidth="1"/>
    <col min="13569" max="13569" width="8.7109375" style="48" customWidth="1"/>
    <col min="13570" max="13570" width="0" style="48" hidden="1" customWidth="1"/>
    <col min="13571" max="13571" width="13.5703125" style="48" customWidth="1"/>
    <col min="13572" max="13572" width="15.7109375" style="48" customWidth="1"/>
    <col min="13573" max="13573" width="14.7109375" style="48" customWidth="1"/>
    <col min="13574" max="13574" width="2.140625" style="48" customWidth="1"/>
    <col min="13575" max="13575" width="16.42578125" style="48" customWidth="1"/>
    <col min="13576" max="13576" width="15.7109375" style="48" customWidth="1"/>
    <col min="13577" max="13577" width="16.28515625" style="48" bestFit="1" customWidth="1"/>
    <col min="13578" max="13578" width="18.7109375" style="48" customWidth="1"/>
    <col min="13579" max="13579" width="9.140625" style="48" customWidth="1"/>
    <col min="13580" max="13580" width="14.42578125" style="48" customWidth="1"/>
    <col min="13581" max="13581" width="9.7109375" style="48" customWidth="1"/>
    <col min="13582" max="13582" width="0" style="48" hidden="1" customWidth="1"/>
    <col min="13583" max="13823" width="8.85546875" style="48"/>
    <col min="13824" max="13824" width="16.140625" style="48" customWidth="1"/>
    <col min="13825" max="13825" width="8.7109375" style="48" customWidth="1"/>
    <col min="13826" max="13826" width="0" style="48" hidden="1" customWidth="1"/>
    <col min="13827" max="13827" width="13.5703125" style="48" customWidth="1"/>
    <col min="13828" max="13828" width="15.7109375" style="48" customWidth="1"/>
    <col min="13829" max="13829" width="14.7109375" style="48" customWidth="1"/>
    <col min="13830" max="13830" width="2.140625" style="48" customWidth="1"/>
    <col min="13831" max="13831" width="16.42578125" style="48" customWidth="1"/>
    <col min="13832" max="13832" width="15.7109375" style="48" customWidth="1"/>
    <col min="13833" max="13833" width="16.28515625" style="48" bestFit="1" customWidth="1"/>
    <col min="13834" max="13834" width="18.7109375" style="48" customWidth="1"/>
    <col min="13835" max="13835" width="9.140625" style="48" customWidth="1"/>
    <col min="13836" max="13836" width="14.42578125" style="48" customWidth="1"/>
    <col min="13837" max="13837" width="9.7109375" style="48" customWidth="1"/>
    <col min="13838" max="13838" width="0" style="48" hidden="1" customWidth="1"/>
    <col min="13839" max="14079" width="8.85546875" style="48"/>
    <col min="14080" max="14080" width="16.140625" style="48" customWidth="1"/>
    <col min="14081" max="14081" width="8.7109375" style="48" customWidth="1"/>
    <col min="14082" max="14082" width="0" style="48" hidden="1" customWidth="1"/>
    <col min="14083" max="14083" width="13.5703125" style="48" customWidth="1"/>
    <col min="14084" max="14084" width="15.7109375" style="48" customWidth="1"/>
    <col min="14085" max="14085" width="14.7109375" style="48" customWidth="1"/>
    <col min="14086" max="14086" width="2.140625" style="48" customWidth="1"/>
    <col min="14087" max="14087" width="16.42578125" style="48" customWidth="1"/>
    <col min="14088" max="14088" width="15.7109375" style="48" customWidth="1"/>
    <col min="14089" max="14089" width="16.28515625" style="48" bestFit="1" customWidth="1"/>
    <col min="14090" max="14090" width="18.7109375" style="48" customWidth="1"/>
    <col min="14091" max="14091" width="9.140625" style="48" customWidth="1"/>
    <col min="14092" max="14092" width="14.42578125" style="48" customWidth="1"/>
    <col min="14093" max="14093" width="9.7109375" style="48" customWidth="1"/>
    <col min="14094" max="14094" width="0" style="48" hidden="1" customWidth="1"/>
    <col min="14095" max="14335" width="8.85546875" style="48"/>
    <col min="14336" max="14336" width="16.140625" style="48" customWidth="1"/>
    <col min="14337" max="14337" width="8.7109375" style="48" customWidth="1"/>
    <col min="14338" max="14338" width="0" style="48" hidden="1" customWidth="1"/>
    <col min="14339" max="14339" width="13.5703125" style="48" customWidth="1"/>
    <col min="14340" max="14340" width="15.7109375" style="48" customWidth="1"/>
    <col min="14341" max="14341" width="14.7109375" style="48" customWidth="1"/>
    <col min="14342" max="14342" width="2.140625" style="48" customWidth="1"/>
    <col min="14343" max="14343" width="16.42578125" style="48" customWidth="1"/>
    <col min="14344" max="14344" width="15.7109375" style="48" customWidth="1"/>
    <col min="14345" max="14345" width="16.28515625" style="48" bestFit="1" customWidth="1"/>
    <col min="14346" max="14346" width="18.7109375" style="48" customWidth="1"/>
    <col min="14347" max="14347" width="9.140625" style="48" customWidth="1"/>
    <col min="14348" max="14348" width="14.42578125" style="48" customWidth="1"/>
    <col min="14349" max="14349" width="9.7109375" style="48" customWidth="1"/>
    <col min="14350" max="14350" width="0" style="48" hidden="1" customWidth="1"/>
    <col min="14351" max="14591" width="8.85546875" style="48"/>
    <col min="14592" max="14592" width="16.140625" style="48" customWidth="1"/>
    <col min="14593" max="14593" width="8.7109375" style="48" customWidth="1"/>
    <col min="14594" max="14594" width="0" style="48" hidden="1" customWidth="1"/>
    <col min="14595" max="14595" width="13.5703125" style="48" customWidth="1"/>
    <col min="14596" max="14596" width="15.7109375" style="48" customWidth="1"/>
    <col min="14597" max="14597" width="14.7109375" style="48" customWidth="1"/>
    <col min="14598" max="14598" width="2.140625" style="48" customWidth="1"/>
    <col min="14599" max="14599" width="16.42578125" style="48" customWidth="1"/>
    <col min="14600" max="14600" width="15.7109375" style="48" customWidth="1"/>
    <col min="14601" max="14601" width="16.28515625" style="48" bestFit="1" customWidth="1"/>
    <col min="14602" max="14602" width="18.7109375" style="48" customWidth="1"/>
    <col min="14603" max="14603" width="9.140625" style="48" customWidth="1"/>
    <col min="14604" max="14604" width="14.42578125" style="48" customWidth="1"/>
    <col min="14605" max="14605" width="9.7109375" style="48" customWidth="1"/>
    <col min="14606" max="14606" width="0" style="48" hidden="1" customWidth="1"/>
    <col min="14607" max="14847" width="8.85546875" style="48"/>
    <col min="14848" max="14848" width="16.140625" style="48" customWidth="1"/>
    <col min="14849" max="14849" width="8.7109375" style="48" customWidth="1"/>
    <col min="14850" max="14850" width="0" style="48" hidden="1" customWidth="1"/>
    <col min="14851" max="14851" width="13.5703125" style="48" customWidth="1"/>
    <col min="14852" max="14852" width="15.7109375" style="48" customWidth="1"/>
    <col min="14853" max="14853" width="14.7109375" style="48" customWidth="1"/>
    <col min="14854" max="14854" width="2.140625" style="48" customWidth="1"/>
    <col min="14855" max="14855" width="16.42578125" style="48" customWidth="1"/>
    <col min="14856" max="14856" width="15.7109375" style="48" customWidth="1"/>
    <col min="14857" max="14857" width="16.28515625" style="48" bestFit="1" customWidth="1"/>
    <col min="14858" max="14858" width="18.7109375" style="48" customWidth="1"/>
    <col min="14859" max="14859" width="9.140625" style="48" customWidth="1"/>
    <col min="14860" max="14860" width="14.42578125" style="48" customWidth="1"/>
    <col min="14861" max="14861" width="9.7109375" style="48" customWidth="1"/>
    <col min="14862" max="14862" width="0" style="48" hidden="1" customWidth="1"/>
    <col min="14863" max="15103" width="8.85546875" style="48"/>
    <col min="15104" max="15104" width="16.140625" style="48" customWidth="1"/>
    <col min="15105" max="15105" width="8.7109375" style="48" customWidth="1"/>
    <col min="15106" max="15106" width="0" style="48" hidden="1" customWidth="1"/>
    <col min="15107" max="15107" width="13.5703125" style="48" customWidth="1"/>
    <col min="15108" max="15108" width="15.7109375" style="48" customWidth="1"/>
    <col min="15109" max="15109" width="14.7109375" style="48" customWidth="1"/>
    <col min="15110" max="15110" width="2.140625" style="48" customWidth="1"/>
    <col min="15111" max="15111" width="16.42578125" style="48" customWidth="1"/>
    <col min="15112" max="15112" width="15.7109375" style="48" customWidth="1"/>
    <col min="15113" max="15113" width="16.28515625" style="48" bestFit="1" customWidth="1"/>
    <col min="15114" max="15114" width="18.7109375" style="48" customWidth="1"/>
    <col min="15115" max="15115" width="9.140625" style="48" customWidth="1"/>
    <col min="15116" max="15116" width="14.42578125" style="48" customWidth="1"/>
    <col min="15117" max="15117" width="9.7109375" style="48" customWidth="1"/>
    <col min="15118" max="15118" width="0" style="48" hidden="1" customWidth="1"/>
    <col min="15119" max="15359" width="8.85546875" style="48"/>
    <col min="15360" max="15360" width="16.140625" style="48" customWidth="1"/>
    <col min="15361" max="15361" width="8.7109375" style="48" customWidth="1"/>
    <col min="15362" max="15362" width="0" style="48" hidden="1" customWidth="1"/>
    <col min="15363" max="15363" width="13.5703125" style="48" customWidth="1"/>
    <col min="15364" max="15364" width="15.7109375" style="48" customWidth="1"/>
    <col min="15365" max="15365" width="14.7109375" style="48" customWidth="1"/>
    <col min="15366" max="15366" width="2.140625" style="48" customWidth="1"/>
    <col min="15367" max="15367" width="16.42578125" style="48" customWidth="1"/>
    <col min="15368" max="15368" width="15.7109375" style="48" customWidth="1"/>
    <col min="15369" max="15369" width="16.28515625" style="48" bestFit="1" customWidth="1"/>
    <col min="15370" max="15370" width="18.7109375" style="48" customWidth="1"/>
    <col min="15371" max="15371" width="9.140625" style="48" customWidth="1"/>
    <col min="15372" max="15372" width="14.42578125" style="48" customWidth="1"/>
    <col min="15373" max="15373" width="9.7109375" style="48" customWidth="1"/>
    <col min="15374" max="15374" width="0" style="48" hidden="1" customWidth="1"/>
    <col min="15375" max="15615" width="8.85546875" style="48"/>
    <col min="15616" max="15616" width="16.140625" style="48" customWidth="1"/>
    <col min="15617" max="15617" width="8.7109375" style="48" customWidth="1"/>
    <col min="15618" max="15618" width="0" style="48" hidden="1" customWidth="1"/>
    <col min="15619" max="15619" width="13.5703125" style="48" customWidth="1"/>
    <col min="15620" max="15620" width="15.7109375" style="48" customWidth="1"/>
    <col min="15621" max="15621" width="14.7109375" style="48" customWidth="1"/>
    <col min="15622" max="15622" width="2.140625" style="48" customWidth="1"/>
    <col min="15623" max="15623" width="16.42578125" style="48" customWidth="1"/>
    <col min="15624" max="15624" width="15.7109375" style="48" customWidth="1"/>
    <col min="15625" max="15625" width="16.28515625" style="48" bestFit="1" customWidth="1"/>
    <col min="15626" max="15626" width="18.7109375" style="48" customWidth="1"/>
    <col min="15627" max="15627" width="9.140625" style="48" customWidth="1"/>
    <col min="15628" max="15628" width="14.42578125" style="48" customWidth="1"/>
    <col min="15629" max="15629" width="9.7109375" style="48" customWidth="1"/>
    <col min="15630" max="15630" width="0" style="48" hidden="1" customWidth="1"/>
    <col min="15631" max="15871" width="8.85546875" style="48"/>
    <col min="15872" max="15872" width="16.140625" style="48" customWidth="1"/>
    <col min="15873" max="15873" width="8.7109375" style="48" customWidth="1"/>
    <col min="15874" max="15874" width="0" style="48" hidden="1" customWidth="1"/>
    <col min="15875" max="15875" width="13.5703125" style="48" customWidth="1"/>
    <col min="15876" max="15876" width="15.7109375" style="48" customWidth="1"/>
    <col min="15877" max="15877" width="14.7109375" style="48" customWidth="1"/>
    <col min="15878" max="15878" width="2.140625" style="48" customWidth="1"/>
    <col min="15879" max="15879" width="16.42578125" style="48" customWidth="1"/>
    <col min="15880" max="15880" width="15.7109375" style="48" customWidth="1"/>
    <col min="15881" max="15881" width="16.28515625" style="48" bestFit="1" customWidth="1"/>
    <col min="15882" max="15882" width="18.7109375" style="48" customWidth="1"/>
    <col min="15883" max="15883" width="9.140625" style="48" customWidth="1"/>
    <col min="15884" max="15884" width="14.42578125" style="48" customWidth="1"/>
    <col min="15885" max="15885" width="9.7109375" style="48" customWidth="1"/>
    <col min="15886" max="15886" width="0" style="48" hidden="1" customWidth="1"/>
    <col min="15887" max="16127" width="8.85546875" style="48"/>
    <col min="16128" max="16128" width="16.140625" style="48" customWidth="1"/>
    <col min="16129" max="16129" width="8.7109375" style="48" customWidth="1"/>
    <col min="16130" max="16130" width="0" style="48" hidden="1" customWidth="1"/>
    <col min="16131" max="16131" width="13.5703125" style="48" customWidth="1"/>
    <col min="16132" max="16132" width="15.7109375" style="48" customWidth="1"/>
    <col min="16133" max="16133" width="14.7109375" style="48" customWidth="1"/>
    <col min="16134" max="16134" width="2.140625" style="48" customWidth="1"/>
    <col min="16135" max="16135" width="16.42578125" style="48" customWidth="1"/>
    <col min="16136" max="16136" width="15.7109375" style="48" customWidth="1"/>
    <col min="16137" max="16137" width="16.28515625" style="48" bestFit="1" customWidth="1"/>
    <col min="16138" max="16138" width="18.7109375" style="48" customWidth="1"/>
    <col min="16139" max="16139" width="9.140625" style="48" customWidth="1"/>
    <col min="16140" max="16140" width="14.42578125" style="48" customWidth="1"/>
    <col min="16141" max="16141" width="9.7109375" style="48" customWidth="1"/>
    <col min="16142" max="16142" width="0" style="48" hidden="1" customWidth="1"/>
    <col min="16143" max="16383" width="8.85546875" style="48"/>
    <col min="16384" max="16384" width="8.85546875" style="48" customWidth="1"/>
  </cols>
  <sheetData>
    <row r="1" spans="1:23" s="29" customFormat="1" ht="20.100000000000001" customHeight="1" x14ac:dyDescent="0.25">
      <c r="A1" s="284" t="s">
        <v>15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23" s="29" customFormat="1" ht="20.100000000000001" customHeight="1" x14ac:dyDescent="0.25">
      <c r="A2" s="284" t="s">
        <v>192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23" ht="12" customHeight="1" x14ac:dyDescent="0.25">
      <c r="A3" s="49"/>
      <c r="B3" s="50"/>
      <c r="C3" s="50"/>
      <c r="D3" s="50"/>
      <c r="E3" s="50"/>
      <c r="F3" s="50"/>
      <c r="G3" s="51"/>
      <c r="H3" s="50"/>
      <c r="I3" s="50"/>
      <c r="J3" s="50"/>
      <c r="K3" s="50"/>
      <c r="L3" s="50"/>
      <c r="M3" s="50"/>
      <c r="N3" s="50"/>
    </row>
    <row r="4" spans="1:23" ht="12" customHeight="1" x14ac:dyDescent="0.25">
      <c r="A4" s="52"/>
      <c r="B4" s="52"/>
      <c r="C4" s="52"/>
      <c r="D4" s="52"/>
      <c r="E4" s="52"/>
      <c r="F4" s="52"/>
      <c r="G4" s="53"/>
      <c r="H4" s="52"/>
      <c r="I4" s="52"/>
      <c r="J4" s="52"/>
      <c r="K4" s="52"/>
      <c r="L4" s="54"/>
      <c r="M4" s="52"/>
      <c r="N4" s="54"/>
    </row>
    <row r="5" spans="1:23" ht="12" customHeight="1" x14ac:dyDescent="0.25">
      <c r="A5" s="52"/>
      <c r="B5" s="52"/>
      <c r="C5" s="52"/>
      <c r="D5" s="52"/>
      <c r="E5" s="52"/>
      <c r="F5" s="52"/>
      <c r="G5" s="53"/>
      <c r="H5" s="52"/>
      <c r="I5" s="52"/>
      <c r="J5" s="52"/>
      <c r="K5" s="52"/>
      <c r="L5" s="54"/>
      <c r="M5" s="52"/>
      <c r="N5" s="54"/>
    </row>
    <row r="6" spans="1:23" ht="12.75" x14ac:dyDescent="0.2">
      <c r="A6" s="52"/>
      <c r="B6" s="183" t="s">
        <v>32</v>
      </c>
      <c r="C6" s="183" t="s">
        <v>17</v>
      </c>
      <c r="D6" s="183" t="s">
        <v>17</v>
      </c>
      <c r="E6" s="182" t="s">
        <v>33</v>
      </c>
      <c r="F6" s="182" t="s">
        <v>18</v>
      </c>
      <c r="G6" s="184"/>
      <c r="H6" s="183" t="s">
        <v>34</v>
      </c>
      <c r="I6" s="183" t="s">
        <v>35</v>
      </c>
      <c r="J6" s="183"/>
      <c r="K6" s="182" t="s">
        <v>36</v>
      </c>
      <c r="L6" s="182" t="s">
        <v>37</v>
      </c>
      <c r="M6" s="182" t="s">
        <v>38</v>
      </c>
      <c r="N6" s="182" t="s">
        <v>39</v>
      </c>
      <c r="O6" s="182" t="s">
        <v>65</v>
      </c>
      <c r="P6" s="182" t="s">
        <v>65</v>
      </c>
      <c r="Q6" s="60"/>
      <c r="R6" s="60"/>
      <c r="S6" s="60"/>
      <c r="T6" s="113"/>
      <c r="U6" s="113"/>
      <c r="V6" s="113"/>
      <c r="W6" s="114"/>
    </row>
    <row r="7" spans="1:23" ht="12.75" x14ac:dyDescent="0.2">
      <c r="A7" s="52"/>
      <c r="B7" s="138"/>
      <c r="C7" s="144"/>
      <c r="D7" s="144"/>
      <c r="E7" s="180"/>
      <c r="F7" s="180"/>
      <c r="G7" s="181"/>
      <c r="H7" s="144"/>
      <c r="I7" s="180" t="s">
        <v>67</v>
      </c>
      <c r="J7" s="180"/>
      <c r="K7" s="144"/>
      <c r="L7" s="180"/>
      <c r="M7" s="174" t="s">
        <v>81</v>
      </c>
      <c r="N7" s="180"/>
      <c r="O7" s="174" t="s">
        <v>81</v>
      </c>
      <c r="P7" s="172"/>
      <c r="Q7" s="60"/>
      <c r="R7" s="60"/>
      <c r="S7" s="60"/>
      <c r="T7" s="113"/>
      <c r="U7" s="113"/>
      <c r="V7" s="113"/>
      <c r="W7" s="114"/>
    </row>
    <row r="8" spans="1:23" ht="12" customHeight="1" x14ac:dyDescent="0.2">
      <c r="A8" s="52" t="s">
        <v>29</v>
      </c>
      <c r="B8" s="138"/>
      <c r="C8" s="138"/>
      <c r="D8" s="144"/>
      <c r="E8" s="144"/>
      <c r="F8" s="144"/>
      <c r="G8" s="179"/>
      <c r="H8" s="144"/>
      <c r="I8" s="144"/>
      <c r="J8" s="144"/>
      <c r="K8" s="144"/>
      <c r="L8" s="144" t="s">
        <v>68</v>
      </c>
      <c r="M8" s="144" t="s">
        <v>44</v>
      </c>
      <c r="N8" s="144" t="s">
        <v>69</v>
      </c>
      <c r="O8" s="144" t="s">
        <v>44</v>
      </c>
      <c r="P8" s="172"/>
      <c r="Q8" s="60"/>
      <c r="R8" s="60"/>
      <c r="S8" s="60"/>
      <c r="T8" s="113"/>
      <c r="U8" s="113"/>
      <c r="V8" s="113"/>
      <c r="W8" s="114"/>
    </row>
    <row r="9" spans="1:23" ht="12" customHeight="1" x14ac:dyDescent="0.2">
      <c r="A9" s="52"/>
      <c r="B9" s="144" t="s">
        <v>40</v>
      </c>
      <c r="C9" s="144" t="s">
        <v>70</v>
      </c>
      <c r="D9" s="144" t="s">
        <v>41</v>
      </c>
      <c r="E9" s="144" t="s">
        <v>40</v>
      </c>
      <c r="F9" s="144" t="s">
        <v>40</v>
      </c>
      <c r="G9" s="179"/>
      <c r="H9" s="144" t="s">
        <v>42</v>
      </c>
      <c r="I9" s="144" t="s">
        <v>16</v>
      </c>
      <c r="J9" s="144"/>
      <c r="K9" s="144" t="s">
        <v>43</v>
      </c>
      <c r="L9" s="144" t="s">
        <v>71</v>
      </c>
      <c r="M9" s="144" t="s">
        <v>115</v>
      </c>
      <c r="N9" s="144" t="s">
        <v>47</v>
      </c>
      <c r="O9" s="144" t="s">
        <v>115</v>
      </c>
      <c r="P9" s="172"/>
      <c r="Q9" s="60"/>
      <c r="R9" s="60"/>
      <c r="S9" s="60"/>
      <c r="T9" s="113"/>
      <c r="U9" s="113"/>
      <c r="V9" s="113"/>
      <c r="W9" s="114"/>
    </row>
    <row r="10" spans="1:23" ht="12" customHeight="1" x14ac:dyDescent="0.2">
      <c r="A10" s="52"/>
      <c r="B10" s="144" t="s">
        <v>44</v>
      </c>
      <c r="C10" s="144" t="s">
        <v>72</v>
      </c>
      <c r="D10" s="144" t="s">
        <v>73</v>
      </c>
      <c r="E10" s="144" t="s">
        <v>74</v>
      </c>
      <c r="F10" s="144" t="s">
        <v>70</v>
      </c>
      <c r="G10" s="179"/>
      <c r="H10" s="144" t="s">
        <v>75</v>
      </c>
      <c r="I10" s="144" t="s">
        <v>40</v>
      </c>
      <c r="J10" s="144"/>
      <c r="K10" s="144" t="s">
        <v>46</v>
      </c>
      <c r="L10" s="144" t="s">
        <v>76</v>
      </c>
      <c r="M10" s="144" t="s">
        <v>114</v>
      </c>
      <c r="N10" s="144">
        <v>60230010</v>
      </c>
      <c r="O10" s="144" t="s">
        <v>113</v>
      </c>
      <c r="P10" s="172"/>
      <c r="Q10" s="60"/>
      <c r="R10" s="60"/>
      <c r="S10" s="60"/>
      <c r="T10" s="113"/>
      <c r="U10" s="113"/>
      <c r="V10" s="113"/>
      <c r="W10" s="114"/>
    </row>
    <row r="11" spans="1:23" ht="12" customHeight="1" x14ac:dyDescent="0.2">
      <c r="A11" s="52"/>
      <c r="B11" s="144" t="s">
        <v>48</v>
      </c>
      <c r="C11" s="144" t="s">
        <v>77</v>
      </c>
      <c r="D11" s="144" t="s">
        <v>112</v>
      </c>
      <c r="E11" s="144" t="s">
        <v>78</v>
      </c>
      <c r="F11" s="144" t="s">
        <v>72</v>
      </c>
      <c r="G11" s="179"/>
      <c r="H11" s="144" t="s">
        <v>79</v>
      </c>
      <c r="I11" s="144" t="s">
        <v>45</v>
      </c>
      <c r="J11" s="144"/>
      <c r="K11" s="144" t="s">
        <v>49</v>
      </c>
      <c r="L11" s="215" t="s">
        <v>134</v>
      </c>
      <c r="M11" s="144" t="s">
        <v>50</v>
      </c>
      <c r="N11" s="144">
        <v>1150</v>
      </c>
      <c r="O11" s="144" t="s">
        <v>50</v>
      </c>
      <c r="P11" s="172"/>
      <c r="Q11" s="60"/>
      <c r="R11" s="60"/>
      <c r="S11" s="60"/>
      <c r="T11" s="113"/>
      <c r="U11" s="113"/>
      <c r="V11" s="113"/>
      <c r="W11" s="114"/>
    </row>
    <row r="12" spans="1:23" ht="12" customHeight="1" x14ac:dyDescent="0.2">
      <c r="A12" s="52"/>
      <c r="B12" s="139" t="s">
        <v>51</v>
      </c>
      <c r="C12" s="139">
        <v>23290030</v>
      </c>
      <c r="D12" s="139" t="s">
        <v>111</v>
      </c>
      <c r="E12" s="139">
        <v>23290040</v>
      </c>
      <c r="F12" s="139" t="s">
        <v>109</v>
      </c>
      <c r="G12" s="140"/>
      <c r="H12" s="139" t="s">
        <v>110</v>
      </c>
      <c r="I12" s="139" t="s">
        <v>109</v>
      </c>
      <c r="J12" s="139"/>
      <c r="K12" s="139">
        <v>23200483</v>
      </c>
      <c r="L12" s="139" t="s">
        <v>80</v>
      </c>
      <c r="M12" s="139" t="s">
        <v>51</v>
      </c>
      <c r="N12" s="139">
        <v>10790090</v>
      </c>
      <c r="O12" s="139" t="s">
        <v>51</v>
      </c>
      <c r="P12" s="172"/>
      <c r="Q12" s="60"/>
      <c r="R12" s="60"/>
      <c r="S12" s="60"/>
      <c r="T12" s="113"/>
      <c r="U12" s="113"/>
      <c r="V12" s="113"/>
      <c r="W12" s="114"/>
    </row>
    <row r="13" spans="1:23" ht="15" customHeight="1" x14ac:dyDescent="0.25">
      <c r="A13"/>
      <c r="B13" s="55"/>
      <c r="C13" s="56"/>
      <c r="D13" s="56"/>
      <c r="E13" s="55"/>
      <c r="F13" s="86"/>
      <c r="G13" s="87"/>
      <c r="H13" s="86"/>
      <c r="I13" s="86"/>
      <c r="J13" s="86"/>
      <c r="K13" s="61"/>
      <c r="L13" s="86"/>
      <c r="M13" s="86"/>
      <c r="N13" s="86"/>
      <c r="O13" s="29"/>
      <c r="P13" s="60"/>
      <c r="Q13" s="60"/>
      <c r="R13" s="60"/>
      <c r="S13" s="60"/>
      <c r="T13" s="113"/>
      <c r="U13" s="113"/>
      <c r="V13" s="113"/>
      <c r="W13" s="114"/>
    </row>
    <row r="14" spans="1:23" ht="14.85" customHeight="1" x14ac:dyDescent="0.2">
      <c r="A14" s="250">
        <v>45261</v>
      </c>
      <c r="B14" s="139"/>
      <c r="C14" s="203"/>
      <c r="D14" s="263"/>
      <c r="E14" s="264"/>
      <c r="F14" s="265"/>
      <c r="G14" s="140"/>
      <c r="H14" s="257">
        <v>-31287686.370000001</v>
      </c>
      <c r="I14" s="139"/>
      <c r="J14" s="139"/>
      <c r="K14" s="257">
        <f>H14</f>
        <v>-31287686.370000001</v>
      </c>
      <c r="L14" s="267"/>
      <c r="M14" s="264"/>
      <c r="N14" s="264"/>
      <c r="O14" s="264"/>
      <c r="P14" s="60"/>
      <c r="Q14" s="60"/>
      <c r="R14" s="60"/>
      <c r="S14" s="60"/>
      <c r="T14" s="113"/>
      <c r="U14" s="113"/>
      <c r="V14" s="113"/>
      <c r="W14" s="114"/>
    </row>
    <row r="15" spans="1:23" s="52" customFormat="1" ht="14.85" customHeight="1" x14ac:dyDescent="0.25">
      <c r="A15" s="250" t="s">
        <v>190</v>
      </c>
      <c r="B15" s="139"/>
      <c r="C15" s="203"/>
      <c r="D15" s="254"/>
      <c r="E15" s="258"/>
      <c r="F15" s="265">
        <v>-3001216.92</v>
      </c>
      <c r="G15" s="140"/>
      <c r="H15" s="173"/>
      <c r="I15" s="258">
        <f>SUM(D15,E15,F15,H15)</f>
        <v>-3001216.92</v>
      </c>
      <c r="J15" s="139"/>
      <c r="K15" s="268">
        <f>K14+I15</f>
        <v>-34288903.289999999</v>
      </c>
      <c r="L15" s="265">
        <v>1403298.65</v>
      </c>
      <c r="M15" s="269">
        <f>L15/(L15+N15)</f>
        <v>0.4675765489153646</v>
      </c>
      <c r="N15" s="265">
        <v>1597918.27</v>
      </c>
      <c r="O15" s="269">
        <f t="shared" ref="O15" si="0">N15/(L15+N15)</f>
        <v>0.5324234510846354</v>
      </c>
      <c r="P15" s="60"/>
      <c r="Q15" s="60"/>
      <c r="R15" s="60"/>
      <c r="S15" s="60"/>
      <c r="T15" s="113"/>
      <c r="U15" s="113"/>
      <c r="V15" s="113"/>
      <c r="W15" s="114"/>
    </row>
    <row r="16" spans="1:23" ht="14.85" customHeight="1" x14ac:dyDescent="0.2">
      <c r="A16" s="250">
        <v>45292</v>
      </c>
      <c r="B16" s="175">
        <v>0.109</v>
      </c>
      <c r="C16" s="141"/>
      <c r="D16" s="254">
        <v>-5343</v>
      </c>
      <c r="E16" s="258">
        <v>-3154563.86</v>
      </c>
      <c r="F16" s="253">
        <v>0</v>
      </c>
      <c r="G16" s="143"/>
      <c r="H16" s="253">
        <v>147500</v>
      </c>
      <c r="I16" s="258">
        <f>SUM(D16,E16,F16,H16)</f>
        <v>-3012406.86</v>
      </c>
      <c r="J16" s="178"/>
      <c r="K16" s="268">
        <f>K15+I16</f>
        <v>-37301310.149999999</v>
      </c>
      <c r="L16" s="258">
        <v>0</v>
      </c>
      <c r="M16" s="270"/>
      <c r="N16" s="258">
        <v>0</v>
      </c>
      <c r="O16" s="269"/>
    </row>
    <row r="17" spans="1:20" ht="14.85" customHeight="1" x14ac:dyDescent="0.2">
      <c r="A17" s="250">
        <v>45323</v>
      </c>
      <c r="B17" s="252">
        <v>0.109</v>
      </c>
      <c r="C17" s="253"/>
      <c r="D17" s="254">
        <v>-5343</v>
      </c>
      <c r="E17" s="255">
        <v>-3027035.13</v>
      </c>
      <c r="F17" s="253">
        <v>0</v>
      </c>
      <c r="G17" s="143"/>
      <c r="H17" s="253">
        <v>0</v>
      </c>
      <c r="I17" s="258">
        <f>SUM(D17,E17,F17,H17)</f>
        <v>-3032378.13</v>
      </c>
      <c r="J17" s="177"/>
      <c r="K17" s="268">
        <f>K16+I17</f>
        <v>-40333688.280000001</v>
      </c>
      <c r="L17" s="258">
        <v>0</v>
      </c>
      <c r="M17" s="271"/>
      <c r="N17" s="258">
        <v>0</v>
      </c>
      <c r="O17" s="269"/>
    </row>
    <row r="18" spans="1:20" ht="14.85" customHeight="1" x14ac:dyDescent="0.2">
      <c r="A18" s="250">
        <v>45352</v>
      </c>
      <c r="B18" s="252">
        <v>0.109</v>
      </c>
      <c r="C18" s="256"/>
      <c r="D18" s="257">
        <v>-4637</v>
      </c>
      <c r="E18" s="257">
        <v>-2681683.61</v>
      </c>
      <c r="F18" s="253">
        <v>2145792.4900000002</v>
      </c>
      <c r="G18" s="143"/>
      <c r="H18" s="253">
        <v>34223573.890000001</v>
      </c>
      <c r="I18" s="258">
        <f>SUM(D18,E18,F18,H18)</f>
        <v>33683045.770000003</v>
      </c>
      <c r="J18" s="177"/>
      <c r="K18" s="268">
        <f>K17+I18</f>
        <v>-6650642.5099999979</v>
      </c>
      <c r="L18" s="258">
        <v>-1024802.69</v>
      </c>
      <c r="M18" s="269">
        <f>L18/(L18+N18)</f>
        <v>0.47758704291112503</v>
      </c>
      <c r="N18" s="258">
        <v>-1120989.8</v>
      </c>
      <c r="O18" s="269">
        <f t="shared" ref="O18:O28" si="1">N18/(L18+N18)</f>
        <v>0.52241295708887481</v>
      </c>
    </row>
    <row r="19" spans="1:20" ht="14.85" customHeight="1" x14ac:dyDescent="0.2">
      <c r="A19" s="250">
        <v>45383</v>
      </c>
      <c r="B19" s="252">
        <v>0.109</v>
      </c>
      <c r="C19" s="254"/>
      <c r="D19" s="254">
        <v>-5108</v>
      </c>
      <c r="E19" s="258">
        <v>-3386154.61</v>
      </c>
      <c r="F19" s="258">
        <v>-68678.42</v>
      </c>
      <c r="G19" s="174"/>
      <c r="H19" s="253">
        <v>134619.76999999999</v>
      </c>
      <c r="I19" s="258">
        <f t="shared" ref="I19:I28" si="2">SUM(D19,E19,F19,H19)</f>
        <v>-3325321.26</v>
      </c>
      <c r="J19" s="177"/>
      <c r="K19" s="268">
        <f t="shared" ref="K19:K27" si="3">K18+I19</f>
        <v>-9975963.7699999977</v>
      </c>
      <c r="L19" s="272">
        <v>32538.52</v>
      </c>
      <c r="M19" s="269">
        <f t="shared" ref="M19:M28" si="4">L19/(L19+N19)</f>
        <v>0.47378084702589257</v>
      </c>
      <c r="N19" s="258">
        <v>36139.9</v>
      </c>
      <c r="O19" s="269">
        <f t="shared" si="1"/>
        <v>0.52621915297410748</v>
      </c>
    </row>
    <row r="20" spans="1:20" ht="14.85" customHeight="1" x14ac:dyDescent="0.2">
      <c r="A20" s="250">
        <v>45413</v>
      </c>
      <c r="B20" s="252">
        <v>0.109</v>
      </c>
      <c r="C20" s="254"/>
      <c r="D20" s="254">
        <v>-5108</v>
      </c>
      <c r="E20" s="258">
        <v>-3368742.09</v>
      </c>
      <c r="F20" s="258">
        <v>1311727.3500000001</v>
      </c>
      <c r="G20" s="174"/>
      <c r="H20" s="253">
        <v>13487.32</v>
      </c>
      <c r="I20" s="258">
        <f t="shared" si="2"/>
        <v>-2048635.4199999997</v>
      </c>
      <c r="J20" s="177"/>
      <c r="K20" s="268">
        <f t="shared" si="3"/>
        <v>-12024599.189999998</v>
      </c>
      <c r="L20" s="258">
        <v>-620324.46</v>
      </c>
      <c r="M20" s="269">
        <f t="shared" si="4"/>
        <v>0.47290655333213866</v>
      </c>
      <c r="N20" s="258">
        <v>-691402.89</v>
      </c>
      <c r="O20" s="269">
        <f t="shared" si="1"/>
        <v>0.52709344666786129</v>
      </c>
    </row>
    <row r="21" spans="1:20" ht="14.85" customHeight="1" x14ac:dyDescent="0.2">
      <c r="A21" s="250">
        <v>45444</v>
      </c>
      <c r="B21" s="252">
        <v>0.109</v>
      </c>
      <c r="C21" s="254"/>
      <c r="D21" s="254">
        <v>-5108</v>
      </c>
      <c r="E21" s="258">
        <v>-2961884.02</v>
      </c>
      <c r="F21" s="258">
        <v>1655473.99</v>
      </c>
      <c r="G21" s="174"/>
      <c r="H21" s="253">
        <v>0</v>
      </c>
      <c r="I21" s="258">
        <f t="shared" si="2"/>
        <v>-1311518.03</v>
      </c>
      <c r="J21" s="177"/>
      <c r="K21" s="268">
        <f t="shared" si="3"/>
        <v>-13336117.219999997</v>
      </c>
      <c r="L21" s="258">
        <v>-785577.37</v>
      </c>
      <c r="M21" s="269">
        <f t="shared" si="4"/>
        <v>0.47453320000515381</v>
      </c>
      <c r="N21" s="258">
        <v>-869896.62</v>
      </c>
      <c r="O21" s="269">
        <f t="shared" si="1"/>
        <v>0.52546679999484613</v>
      </c>
    </row>
    <row r="22" spans="1:20" ht="14.85" customHeight="1" x14ac:dyDescent="0.2">
      <c r="A22" s="250">
        <v>45474</v>
      </c>
      <c r="B22" s="252">
        <v>0.109</v>
      </c>
      <c r="C22" s="254"/>
      <c r="D22" s="254">
        <v>-5108</v>
      </c>
      <c r="E22" s="258">
        <v>-3220729.85</v>
      </c>
      <c r="F22" s="258">
        <v>-3071773.05</v>
      </c>
      <c r="G22" s="174"/>
      <c r="H22" s="253">
        <v>0</v>
      </c>
      <c r="I22" s="258">
        <f t="shared" si="2"/>
        <v>-6297610.9000000004</v>
      </c>
      <c r="J22" s="177"/>
      <c r="K22" s="268">
        <f t="shared" si="3"/>
        <v>-19633728.119999997</v>
      </c>
      <c r="L22" s="258">
        <v>1434253.22</v>
      </c>
      <c r="M22" s="273">
        <f t="shared" si="4"/>
        <v>0.46691379755415202</v>
      </c>
      <c r="N22" s="258">
        <v>1637519.83</v>
      </c>
      <c r="O22" s="273">
        <f t="shared" si="1"/>
        <v>0.53308620244584803</v>
      </c>
    </row>
    <row r="23" spans="1:20" ht="14.85" customHeight="1" x14ac:dyDescent="0.2">
      <c r="A23" s="250">
        <v>45505</v>
      </c>
      <c r="B23" s="252">
        <v>0.109</v>
      </c>
      <c r="C23" s="254"/>
      <c r="D23" s="254">
        <v>-5108</v>
      </c>
      <c r="E23" s="258">
        <v>-3220965.81</v>
      </c>
      <c r="F23" s="258">
        <v>209571.1</v>
      </c>
      <c r="G23" s="174"/>
      <c r="H23" s="253">
        <v>0</v>
      </c>
      <c r="I23" s="258">
        <f t="shared" si="2"/>
        <v>-3016502.71</v>
      </c>
      <c r="J23" s="177"/>
      <c r="K23" s="268">
        <f t="shared" si="3"/>
        <v>-22650230.829999998</v>
      </c>
      <c r="L23" s="258">
        <v>-97922.17</v>
      </c>
      <c r="M23" s="273">
        <f t="shared" si="4"/>
        <v>0.46725035083558758</v>
      </c>
      <c r="N23" s="258">
        <v>-111648.93</v>
      </c>
      <c r="O23" s="273">
        <f t="shared" si="1"/>
        <v>0.53274964916441248</v>
      </c>
      <c r="Q23" s="97"/>
    </row>
    <row r="24" spans="1:20" ht="14.85" customHeight="1" x14ac:dyDescent="0.2">
      <c r="A24" s="250">
        <v>45536</v>
      </c>
      <c r="B24" s="252">
        <v>0.109</v>
      </c>
      <c r="C24" s="254"/>
      <c r="D24" s="254">
        <v>-5108</v>
      </c>
      <c r="E24" s="258">
        <v>-3099653.77</v>
      </c>
      <c r="F24" s="258">
        <v>121454.1</v>
      </c>
      <c r="G24" s="174"/>
      <c r="H24" s="253">
        <v>84793.7</v>
      </c>
      <c r="I24" s="258">
        <f t="shared" si="2"/>
        <v>-2898513.9699999997</v>
      </c>
      <c r="J24" s="177"/>
      <c r="K24" s="268">
        <f t="shared" si="3"/>
        <v>-25548744.799999997</v>
      </c>
      <c r="L24" s="258">
        <v>-56847.89</v>
      </c>
      <c r="M24" s="273">
        <f t="shared" si="4"/>
        <v>0.46806069124055916</v>
      </c>
      <c r="N24" s="258">
        <v>-64606.21</v>
      </c>
      <c r="O24" s="273">
        <f t="shared" si="1"/>
        <v>0.53193930875944073</v>
      </c>
      <c r="Q24" s="97"/>
    </row>
    <row r="25" spans="1:20" ht="14.85" customHeight="1" x14ac:dyDescent="0.2">
      <c r="A25" s="250">
        <v>45566</v>
      </c>
      <c r="B25" s="252">
        <v>0.109</v>
      </c>
      <c r="C25" s="254"/>
      <c r="D25" s="254">
        <v>-5108</v>
      </c>
      <c r="E25" s="258">
        <v>-3302469.7</v>
      </c>
      <c r="F25" s="258">
        <v>466438.11</v>
      </c>
      <c r="G25" s="174"/>
      <c r="H25" s="253">
        <v>2390.17</v>
      </c>
      <c r="I25" s="258">
        <f t="shared" si="2"/>
        <v>-2838749.4200000004</v>
      </c>
      <c r="J25" s="177"/>
      <c r="K25" s="268">
        <f>K24+I25</f>
        <v>-28387494.219999999</v>
      </c>
      <c r="L25" s="258">
        <v>-216207.06</v>
      </c>
      <c r="M25" s="273">
        <f t="shared" si="4"/>
        <v>0.46352786224950615</v>
      </c>
      <c r="N25" s="258">
        <v>-250231.05</v>
      </c>
      <c r="O25" s="273">
        <f t="shared" si="1"/>
        <v>0.53647213775049385</v>
      </c>
      <c r="P25" s="52"/>
      <c r="Q25" s="97"/>
    </row>
    <row r="26" spans="1:20" ht="14.85" customHeight="1" x14ac:dyDescent="0.2">
      <c r="A26" s="250">
        <v>45597</v>
      </c>
      <c r="B26" s="252">
        <v>0.109</v>
      </c>
      <c r="C26" s="254"/>
      <c r="D26" s="254">
        <v>-5108</v>
      </c>
      <c r="E26" s="258">
        <v>-2790134.72</v>
      </c>
      <c r="F26" s="258">
        <v>2913250.78</v>
      </c>
      <c r="G26" s="174"/>
      <c r="H26" s="253"/>
      <c r="I26" s="258">
        <f t="shared" si="2"/>
        <v>118008.05999999959</v>
      </c>
      <c r="J26" s="177"/>
      <c r="K26" s="268">
        <f t="shared" si="3"/>
        <v>-28269486.16</v>
      </c>
      <c r="L26" s="258">
        <v>-1339539.94</v>
      </c>
      <c r="M26" s="273">
        <f t="shared" si="4"/>
        <v>0.45980934741224022</v>
      </c>
      <c r="N26" s="258">
        <v>-1573710.84</v>
      </c>
      <c r="O26" s="273">
        <f t="shared" si="1"/>
        <v>0.54019065258775967</v>
      </c>
      <c r="P26" s="97"/>
      <c r="Q26" s="97"/>
    </row>
    <row r="27" spans="1:20" ht="14.85" customHeight="1" x14ac:dyDescent="0.25">
      <c r="A27" s="250">
        <v>45627</v>
      </c>
      <c r="B27" s="252">
        <v>0.109</v>
      </c>
      <c r="C27" s="256"/>
      <c r="D27" s="254">
        <v>-5108</v>
      </c>
      <c r="E27" s="258">
        <v>-3050304.45</v>
      </c>
      <c r="F27" s="258">
        <v>-3369701.28</v>
      </c>
      <c r="G27" s="204"/>
      <c r="H27" s="253"/>
      <c r="I27" s="258">
        <f t="shared" si="2"/>
        <v>-6425113.7300000004</v>
      </c>
      <c r="J27" s="29"/>
      <c r="K27" s="268">
        <f t="shared" si="3"/>
        <v>-34694599.890000001</v>
      </c>
      <c r="L27" s="258">
        <v>1567432.78</v>
      </c>
      <c r="M27" s="273">
        <f t="shared" si="4"/>
        <v>0.4651548163343428</v>
      </c>
      <c r="N27" s="258">
        <v>1802268.5</v>
      </c>
      <c r="O27" s="273">
        <f t="shared" si="1"/>
        <v>0.53484518366565714</v>
      </c>
      <c r="P27" s="97"/>
      <c r="Q27" s="97"/>
    </row>
    <row r="28" spans="1:20" s="29" customFormat="1" ht="15" customHeight="1" x14ac:dyDescent="0.25">
      <c r="A28" s="251" t="s">
        <v>191</v>
      </c>
      <c r="B28" s="259"/>
      <c r="C28" s="260"/>
      <c r="D28" s="261"/>
      <c r="E28" s="262"/>
      <c r="F28" s="262">
        <v>-3182630.35</v>
      </c>
      <c r="G28" s="238"/>
      <c r="H28" s="266"/>
      <c r="I28" s="262">
        <f t="shared" si="2"/>
        <v>-3182630.35</v>
      </c>
      <c r="J28" s="239">
        <f>SUM(D28:H28)-I28</f>
        <v>0</v>
      </c>
      <c r="K28" s="274">
        <f>K27+I28</f>
        <v>-37877230.240000002</v>
      </c>
      <c r="L28" s="262">
        <v>1480415.82</v>
      </c>
      <c r="M28" s="275">
        <f t="shared" si="4"/>
        <v>0.46515481133396469</v>
      </c>
      <c r="N28" s="262">
        <v>1702214.53</v>
      </c>
      <c r="O28" s="275">
        <f t="shared" si="1"/>
        <v>0.53484518866603525</v>
      </c>
      <c r="Q28" s="193"/>
      <c r="R28" s="193"/>
      <c r="S28" s="194">
        <v>-516443.71</v>
      </c>
      <c r="T28" s="193">
        <v>132021.88</v>
      </c>
    </row>
    <row r="29" spans="1:20" s="52" customFormat="1" ht="15" customHeight="1" thickBot="1" x14ac:dyDescent="0.25">
      <c r="A29" s="214" t="s">
        <v>16</v>
      </c>
      <c r="B29" s="176"/>
      <c r="C29" s="142"/>
      <c r="D29" s="216">
        <f>SUM(D16:D28)</f>
        <v>-61295</v>
      </c>
      <c r="E29" s="216">
        <f t="shared" ref="E29:H29" si="5">SUM(E16:E28)</f>
        <v>-37264321.620000005</v>
      </c>
      <c r="F29" s="216">
        <f t="shared" si="5"/>
        <v>-869075.1799999997</v>
      </c>
      <c r="G29" s="216">
        <f t="shared" si="5"/>
        <v>0</v>
      </c>
      <c r="H29" s="216">
        <f t="shared" si="5"/>
        <v>34606364.850000009</v>
      </c>
      <c r="I29" s="216">
        <f>SUM(I16:I28)</f>
        <v>-3588326.9499999951</v>
      </c>
      <c r="J29" s="217"/>
      <c r="K29" s="218"/>
      <c r="L29" s="216">
        <f>SUM(L16:L28)</f>
        <v>373418.76000000024</v>
      </c>
      <c r="M29" s="219"/>
      <c r="N29" s="216">
        <f>SUM(N16:N28)</f>
        <v>495656.41999999969</v>
      </c>
      <c r="O29" s="219"/>
      <c r="P29" s="97"/>
      <c r="Q29" s="97"/>
    </row>
    <row r="30" spans="1:20" ht="15" customHeight="1" thickTop="1" x14ac:dyDescent="0.25">
      <c r="A30" s="35"/>
      <c r="B30" s="36"/>
      <c r="C30" s="52"/>
      <c r="D30" s="36"/>
      <c r="E30" s="37"/>
      <c r="F30" s="37"/>
      <c r="G30" s="58"/>
      <c r="H30" s="37"/>
      <c r="I30" s="37"/>
      <c r="J30" s="38"/>
      <c r="K30" s="39"/>
      <c r="L30" s="40"/>
      <c r="M30" s="41"/>
      <c r="N30" s="40"/>
    </row>
    <row r="31" spans="1:20" ht="15" customHeight="1" x14ac:dyDescent="0.25">
      <c r="A31" s="35"/>
      <c r="B31" s="36"/>
      <c r="C31" s="52"/>
      <c r="D31" s="174" t="s">
        <v>81</v>
      </c>
      <c r="E31" s="29"/>
      <c r="F31" s="29" t="s">
        <v>91</v>
      </c>
      <c r="G31" s="29"/>
      <c r="H31" s="29"/>
      <c r="I31" s="204"/>
      <c r="J31" s="29"/>
      <c r="K31" s="29"/>
      <c r="L31" s="29"/>
      <c r="M31" s="29"/>
      <c r="N31" s="40"/>
    </row>
    <row r="32" spans="1:20" s="96" customFormat="1" x14ac:dyDescent="0.25">
      <c r="B32" s="57"/>
      <c r="G32" s="112"/>
      <c r="J32" s="52"/>
      <c r="K32" s="52"/>
    </row>
    <row r="33" spans="5:15" x14ac:dyDescent="0.25">
      <c r="J33" s="52"/>
      <c r="K33" s="52"/>
    </row>
    <row r="34" spans="5:15" x14ac:dyDescent="0.25">
      <c r="E34" s="192"/>
      <c r="F34" s="192"/>
      <c r="G34" s="28"/>
      <c r="H34" s="28"/>
      <c r="I34" s="47"/>
      <c r="J34" s="52"/>
      <c r="K34" s="52"/>
    </row>
    <row r="35" spans="5:15" s="52" customFormat="1" x14ac:dyDescent="0.25">
      <c r="E35" s="191"/>
      <c r="F35" s="291"/>
      <c r="G35" s="59"/>
      <c r="H35"/>
      <c r="I35" s="47"/>
      <c r="O35" s="96"/>
    </row>
    <row r="36" spans="5:15" x14ac:dyDescent="0.25">
      <c r="E36" s="196">
        <v>38284035</v>
      </c>
      <c r="F36" s="292" t="s">
        <v>199</v>
      </c>
      <c r="H36"/>
      <c r="I36" s="145"/>
      <c r="J36" s="52"/>
      <c r="K36" s="52"/>
    </row>
    <row r="37" spans="5:15" ht="15.75" thickBot="1" x14ac:dyDescent="0.3">
      <c r="E37" s="189"/>
      <c r="F37" s="293"/>
      <c r="H37"/>
      <c r="I37" s="145"/>
      <c r="J37" s="52"/>
      <c r="K37" s="52"/>
    </row>
    <row r="38" spans="5:15" x14ac:dyDescent="0.25">
      <c r="E38" s="52"/>
      <c r="F38" s="97"/>
      <c r="G38" s="52"/>
      <c r="H38" s="52"/>
      <c r="I38" s="145"/>
      <c r="J38" s="52"/>
      <c r="K38" s="52"/>
    </row>
    <row r="39" spans="5:15" x14ac:dyDescent="0.25">
      <c r="E39" s="52" t="s">
        <v>119</v>
      </c>
      <c r="F39" s="197">
        <f>+E36</f>
        <v>38284035</v>
      </c>
      <c r="G39" s="52"/>
      <c r="H39" s="52"/>
      <c r="I39" s="145"/>
      <c r="J39" s="52"/>
      <c r="K39" s="52"/>
    </row>
    <row r="40" spans="5:15" x14ac:dyDescent="0.25">
      <c r="E40" s="198" t="s">
        <v>112</v>
      </c>
      <c r="F40" s="199" t="s">
        <v>122</v>
      </c>
      <c r="G40" s="52"/>
      <c r="H40" s="52"/>
      <c r="I40" s="145"/>
      <c r="J40" s="52"/>
      <c r="K40" s="52"/>
    </row>
    <row r="41" spans="5:15" x14ac:dyDescent="0.25">
      <c r="E41" s="200" t="s">
        <v>120</v>
      </c>
      <c r="F41" s="201"/>
      <c r="G41" s="52"/>
      <c r="H41" s="52"/>
      <c r="I41" s="47"/>
      <c r="J41" s="52"/>
      <c r="K41" s="52"/>
    </row>
    <row r="42" spans="5:15" x14ac:dyDescent="0.25">
      <c r="E42" s="52"/>
      <c r="F42" s="197"/>
      <c r="G42" s="52"/>
      <c r="H42" s="52"/>
      <c r="J42" s="52"/>
      <c r="K42" s="52"/>
    </row>
    <row r="43" spans="5:15" x14ac:dyDescent="0.25">
      <c r="E43" s="52"/>
      <c r="F43" s="197"/>
      <c r="G43" s="52"/>
      <c r="H43" s="52"/>
      <c r="J43" s="52"/>
      <c r="K43" s="52"/>
    </row>
    <row r="44" spans="5:15" x14ac:dyDescent="0.25">
      <c r="J44" s="52"/>
      <c r="K44" s="52"/>
    </row>
    <row r="45" spans="5:15" x14ac:dyDescent="0.25">
      <c r="J45" s="52"/>
      <c r="K45" s="52"/>
    </row>
    <row r="46" spans="5:15" x14ac:dyDescent="0.25">
      <c r="J46" s="52"/>
      <c r="K46" s="52"/>
    </row>
  </sheetData>
  <mergeCells count="3">
    <mergeCell ref="A2:N2"/>
    <mergeCell ref="A1:N1"/>
    <mergeCell ref="O2:P2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4"/>
  <sheetViews>
    <sheetView workbookViewId="0">
      <selection activeCell="L31" sqref="L31"/>
    </sheetView>
  </sheetViews>
  <sheetFormatPr defaultColWidth="9.140625" defaultRowHeight="15" x14ac:dyDescent="0.25"/>
  <cols>
    <col min="1" max="2" width="9.140625" style="96"/>
    <col min="3" max="3" width="26.5703125" style="96" bestFit="1" customWidth="1"/>
    <col min="4" max="4" width="16" style="96" bestFit="1" customWidth="1"/>
    <col min="5" max="6" width="15.28515625" style="96" bestFit="1" customWidth="1"/>
    <col min="7" max="7" width="12.5703125" style="96" bestFit="1" customWidth="1"/>
    <col min="8" max="16384" width="9.140625" style="96"/>
  </cols>
  <sheetData>
    <row r="2" spans="3:7" x14ac:dyDescent="0.25">
      <c r="D2" s="248" t="s">
        <v>16</v>
      </c>
      <c r="E2" s="249" t="s">
        <v>128</v>
      </c>
      <c r="F2" s="249" t="s">
        <v>114</v>
      </c>
      <c r="G2" s="249" t="s">
        <v>31</v>
      </c>
    </row>
    <row r="3" spans="3:7" x14ac:dyDescent="0.25">
      <c r="C3" s="248" t="s">
        <v>187</v>
      </c>
      <c r="D3" s="248"/>
      <c r="E3" s="244">
        <v>0</v>
      </c>
      <c r="F3" s="244">
        <v>0.33</v>
      </c>
      <c r="G3" s="244">
        <v>0.67</v>
      </c>
    </row>
    <row r="4" spans="3:7" x14ac:dyDescent="0.25">
      <c r="C4" s="280"/>
      <c r="D4" s="280"/>
      <c r="E4" s="281"/>
      <c r="F4" s="281"/>
      <c r="G4" s="281"/>
    </row>
    <row r="5" spans="3:7" ht="15.75" x14ac:dyDescent="0.25">
      <c r="C5" s="246">
        <v>2024</v>
      </c>
      <c r="D5" s="280"/>
      <c r="E5" s="281"/>
      <c r="F5" s="281"/>
      <c r="G5" s="281"/>
    </row>
    <row r="6" spans="3:7" x14ac:dyDescent="0.25">
      <c r="C6" s="245" t="s">
        <v>186</v>
      </c>
      <c r="D6" s="248"/>
      <c r="E6" s="244">
        <f>[1]Lead!$G$45</f>
        <v>0.54209360719774247</v>
      </c>
      <c r="F6" s="244">
        <f>[1]Lead!$G$43</f>
        <v>0.45218731964206904</v>
      </c>
      <c r="G6" s="244">
        <f>[1]Lead!$G$44</f>
        <v>5.7190731601885359E-3</v>
      </c>
    </row>
    <row r="7" spans="3:7" x14ac:dyDescent="0.25">
      <c r="C7" s="242" t="s">
        <v>185</v>
      </c>
      <c r="D7" s="241">
        <f>'Incent &amp; Related PR Tax - TY'!B15</f>
        <v>37264321.620000005</v>
      </c>
      <c r="E7" s="241">
        <f>+D7*E6</f>
        <v>20200750.526762623</v>
      </c>
      <c r="F7" s="241">
        <f>+D7*F6</f>
        <v>16850453.711627807</v>
      </c>
      <c r="G7" s="241">
        <f>+D7*G6</f>
        <v>213117.38160957542</v>
      </c>
    </row>
    <row r="8" spans="3:7" x14ac:dyDescent="0.25">
      <c r="C8" s="242" t="s">
        <v>184</v>
      </c>
      <c r="D8" s="241">
        <f>'Incent &amp; Related PR Tax - TY'!B19</f>
        <v>368644.59999999986</v>
      </c>
      <c r="E8" s="243"/>
      <c r="F8" s="241">
        <f>+D8</f>
        <v>368644.59999999986</v>
      </c>
      <c r="G8" s="243"/>
    </row>
    <row r="9" spans="3:7" x14ac:dyDescent="0.25">
      <c r="C9" s="242" t="s">
        <v>183</v>
      </c>
      <c r="D9" s="241">
        <v>113496</v>
      </c>
      <c r="E9" s="243"/>
      <c r="F9" s="241">
        <f>+D9*$F$3</f>
        <v>37453.68</v>
      </c>
      <c r="G9" s="241">
        <f>+D9*$G$3</f>
        <v>76042.320000000007</v>
      </c>
    </row>
    <row r="10" spans="3:7" x14ac:dyDescent="0.25">
      <c r="C10" s="242" t="s">
        <v>182</v>
      </c>
      <c r="D10" s="241">
        <f>-'Manual Clearing'!G25</f>
        <v>4774.159999999998</v>
      </c>
      <c r="E10" s="243"/>
      <c r="F10" s="243"/>
      <c r="G10" s="241">
        <f>+D10</f>
        <v>4774.159999999998</v>
      </c>
    </row>
    <row r="11" spans="3:7" x14ac:dyDescent="0.25">
      <c r="C11" s="242" t="s">
        <v>181</v>
      </c>
      <c r="D11" s="241">
        <f>'Report 2024'!N29</f>
        <v>495656.41999999969</v>
      </c>
      <c r="E11" s="241">
        <f>+D11</f>
        <v>495656.41999999969</v>
      </c>
      <c r="F11" s="243"/>
      <c r="G11" s="243"/>
    </row>
    <row r="12" spans="3:7" x14ac:dyDescent="0.25">
      <c r="C12" s="242"/>
      <c r="D12" s="241">
        <f>SUM(D7:D11)</f>
        <v>38246892.800000004</v>
      </c>
      <c r="E12" s="241">
        <f>SUM(E7:E11)</f>
        <v>20696406.946762621</v>
      </c>
      <c r="F12" s="241">
        <f>SUM(F7:F11)</f>
        <v>17256551.991627809</v>
      </c>
      <c r="G12" s="241">
        <f>SUM(G7:G11)</f>
        <v>293933.8616095754</v>
      </c>
    </row>
    <row r="14" spans="3:7" ht="15.75" x14ac:dyDescent="0.25">
      <c r="C14" s="246">
        <v>2023</v>
      </c>
    </row>
    <row r="15" spans="3:7" x14ac:dyDescent="0.25">
      <c r="C15" s="245" t="s">
        <v>186</v>
      </c>
      <c r="D15" s="248"/>
      <c r="E15" s="244">
        <v>0.53385358624455836</v>
      </c>
      <c r="F15" s="244">
        <v>0.45991132720047301</v>
      </c>
      <c r="G15" s="244">
        <v>6.2350865549685606E-3</v>
      </c>
    </row>
    <row r="16" spans="3:7" x14ac:dyDescent="0.25">
      <c r="C16" s="242" t="s">
        <v>185</v>
      </c>
      <c r="D16" s="241">
        <v>33590878.349999994</v>
      </c>
      <c r="E16" s="241">
        <f>+D16*E15</f>
        <v>17932610.872252189</v>
      </c>
      <c r="F16" s="241">
        <f>+D16*F15</f>
        <v>15448825.443778133</v>
      </c>
      <c r="G16" s="241">
        <f>+D16*G15</f>
        <v>209442.03396966946</v>
      </c>
    </row>
    <row r="17" spans="3:7" x14ac:dyDescent="0.25">
      <c r="C17" s="242" t="s">
        <v>184</v>
      </c>
      <c r="D17" s="241">
        <v>588119.85767133045</v>
      </c>
      <c r="E17" s="243"/>
      <c r="F17" s="241">
        <f>+D17</f>
        <v>588119.85767133045</v>
      </c>
      <c r="G17" s="243"/>
    </row>
    <row r="18" spans="3:7" x14ac:dyDescent="0.25">
      <c r="C18" s="242" t="s">
        <v>183</v>
      </c>
      <c r="D18" s="241">
        <v>76663</v>
      </c>
      <c r="E18" s="243"/>
      <c r="F18" s="241">
        <f>+D18*$F$3</f>
        <v>25298.79</v>
      </c>
      <c r="G18" s="241">
        <f>+D18*$G$3</f>
        <v>51364.210000000006</v>
      </c>
    </row>
    <row r="19" spans="3:7" x14ac:dyDescent="0.25">
      <c r="C19" s="242" t="s">
        <v>182</v>
      </c>
      <c r="D19" s="241">
        <v>8069.444590340232</v>
      </c>
      <c r="E19" s="243"/>
      <c r="F19" s="243"/>
      <c r="G19" s="241">
        <f>+D19</f>
        <v>8069.444590340232</v>
      </c>
    </row>
    <row r="20" spans="3:7" x14ac:dyDescent="0.25">
      <c r="C20" s="242" t="s">
        <v>181</v>
      </c>
      <c r="D20" s="241">
        <v>727016.64999999991</v>
      </c>
      <c r="E20" s="241">
        <f>+D20</f>
        <v>727016.64999999991</v>
      </c>
      <c r="F20" s="243"/>
      <c r="G20" s="243"/>
    </row>
    <row r="21" spans="3:7" x14ac:dyDescent="0.25">
      <c r="C21" s="242"/>
      <c r="D21" s="241">
        <f>SUM(D16:D20)</f>
        <v>34990747.302261658</v>
      </c>
      <c r="E21" s="241">
        <f>SUM(E16:E20)</f>
        <v>18659627.522252187</v>
      </c>
      <c r="F21" s="241">
        <f>SUM(F16:F20)</f>
        <v>16062244.091449462</v>
      </c>
      <c r="G21" s="241">
        <f>SUM(G16:G20)</f>
        <v>268875.6885600097</v>
      </c>
    </row>
    <row r="22" spans="3:7" x14ac:dyDescent="0.25">
      <c r="C22" s="247"/>
    </row>
    <row r="23" spans="3:7" ht="15.75" x14ac:dyDescent="0.25">
      <c r="C23" s="246">
        <v>2022</v>
      </c>
    </row>
    <row r="24" spans="3:7" x14ac:dyDescent="0.25">
      <c r="C24" s="245" t="s">
        <v>186</v>
      </c>
      <c r="D24" s="248"/>
      <c r="E24" s="244">
        <v>0.51716471471736192</v>
      </c>
      <c r="F24" s="244">
        <v>0.47584930938870212</v>
      </c>
      <c r="G24" s="244">
        <v>6.9859758939358734E-3</v>
      </c>
    </row>
    <row r="25" spans="3:7" x14ac:dyDescent="0.25">
      <c r="C25" s="242" t="s">
        <v>185</v>
      </c>
      <c r="D25" s="241">
        <v>29945526.829999998</v>
      </c>
      <c r="E25" s="241">
        <f>+D25*E24</f>
        <v>15486769.840098057</v>
      </c>
      <c r="F25" s="241">
        <f>+D25*F24</f>
        <v>14249558.261336349</v>
      </c>
      <c r="G25" s="241">
        <f>+D25*G24</f>
        <v>209198.72856558993</v>
      </c>
    </row>
    <row r="26" spans="3:7" x14ac:dyDescent="0.25">
      <c r="C26" s="242" t="s">
        <v>184</v>
      </c>
      <c r="D26" s="241">
        <v>-1211423.31</v>
      </c>
      <c r="E26" s="243"/>
      <c r="F26" s="241">
        <f>+D26</f>
        <v>-1211423.31</v>
      </c>
      <c r="G26" s="243"/>
    </row>
    <row r="27" spans="3:7" x14ac:dyDescent="0.25">
      <c r="C27" s="242" t="s">
        <v>183</v>
      </c>
      <c r="D27" s="241">
        <v>54623</v>
      </c>
      <c r="E27" s="243"/>
      <c r="F27" s="241">
        <f>+D27*$F$3</f>
        <v>18025.59</v>
      </c>
      <c r="G27" s="241">
        <f>+D27*$G$3</f>
        <v>36597.410000000003</v>
      </c>
    </row>
    <row r="28" spans="3:7" x14ac:dyDescent="0.25">
      <c r="C28" s="242" t="s">
        <v>182</v>
      </c>
      <c r="D28" s="241">
        <v>-17365.62</v>
      </c>
      <c r="E28" s="243"/>
      <c r="F28" s="243"/>
      <c r="G28" s="241">
        <f>+D28</f>
        <v>-17365.62</v>
      </c>
    </row>
    <row r="29" spans="3:7" x14ac:dyDescent="0.25">
      <c r="C29" s="242" t="s">
        <v>181</v>
      </c>
      <c r="D29" s="241">
        <v>-1224318</v>
      </c>
      <c r="E29" s="241">
        <f>+D29</f>
        <v>-1224318</v>
      </c>
      <c r="F29" s="243"/>
      <c r="G29" s="243"/>
    </row>
    <row r="30" spans="3:7" x14ac:dyDescent="0.25">
      <c r="C30" s="242"/>
      <c r="D30" s="241">
        <f>SUM(D25:D29)</f>
        <v>27547042.899999999</v>
      </c>
      <c r="E30" s="241">
        <f>SUM(E25:E29)</f>
        <v>14262451.840098057</v>
      </c>
      <c r="F30" s="241">
        <f>SUM(F25:F29)</f>
        <v>13056160.541336348</v>
      </c>
      <c r="G30" s="241">
        <f>SUM(G25:G29)</f>
        <v>228430.51856558994</v>
      </c>
    </row>
    <row r="31" spans="3:7" x14ac:dyDescent="0.25">
      <c r="C31" s="247"/>
    </row>
    <row r="32" spans="3:7" ht="15.75" x14ac:dyDescent="0.25">
      <c r="C32" s="246">
        <v>2021</v>
      </c>
    </row>
    <row r="33" spans="3:7" x14ac:dyDescent="0.25">
      <c r="C33" s="245" t="s">
        <v>186</v>
      </c>
      <c r="D33" s="243"/>
      <c r="E33" s="244">
        <v>0.51551790268663533</v>
      </c>
      <c r="F33" s="244">
        <v>0.48238392496676075</v>
      </c>
      <c r="G33" s="244">
        <v>2.0981723466039384E-3</v>
      </c>
    </row>
    <row r="34" spans="3:7" x14ac:dyDescent="0.25">
      <c r="C34" s="242" t="s">
        <v>185</v>
      </c>
      <c r="D34" s="241">
        <v>7202628.080000001</v>
      </c>
      <c r="E34" s="241">
        <f>+D34*E33</f>
        <v>3713083.7216334678</v>
      </c>
      <c r="F34" s="241">
        <f>+D34*F33</f>
        <v>3474432.0033062045</v>
      </c>
      <c r="G34" s="241">
        <f>+D34*G33</f>
        <v>15112.355060329022</v>
      </c>
    </row>
    <row r="35" spans="3:7" x14ac:dyDescent="0.25">
      <c r="C35" s="242" t="s">
        <v>184</v>
      </c>
      <c r="D35" s="241">
        <v>4431865.3100000005</v>
      </c>
      <c r="E35" s="243"/>
      <c r="F35" s="241">
        <f>+D35</f>
        <v>4431865.3100000005</v>
      </c>
      <c r="G35" s="243"/>
    </row>
    <row r="36" spans="3:7" x14ac:dyDescent="0.25">
      <c r="C36" s="242" t="s">
        <v>183</v>
      </c>
      <c r="D36" s="241">
        <v>80364</v>
      </c>
      <c r="E36" s="243"/>
      <c r="F36" s="241">
        <f>+D36*$F$3</f>
        <v>26520.120000000003</v>
      </c>
      <c r="G36" s="241">
        <f>+D36*$G$3</f>
        <v>53843.880000000005</v>
      </c>
    </row>
    <row r="37" spans="3:7" x14ac:dyDescent="0.25">
      <c r="C37" s="242" t="s">
        <v>182</v>
      </c>
      <c r="D37" s="241">
        <v>60493.169999999991</v>
      </c>
      <c r="E37" s="243"/>
      <c r="F37" s="243"/>
      <c r="G37" s="241">
        <f>+D37</f>
        <v>60493.169999999991</v>
      </c>
    </row>
    <row r="38" spans="3:7" x14ac:dyDescent="0.25">
      <c r="C38" s="242" t="s">
        <v>181</v>
      </c>
      <c r="D38" s="241">
        <v>4770695.2300000004</v>
      </c>
      <c r="E38" s="241">
        <f>+D38</f>
        <v>4770695.2300000004</v>
      </c>
      <c r="F38" s="243"/>
      <c r="G38" s="243"/>
    </row>
    <row r="39" spans="3:7" x14ac:dyDescent="0.25">
      <c r="C39" s="242"/>
      <c r="D39" s="241">
        <f>SUM(D34:D38)</f>
        <v>16546045.790000001</v>
      </c>
      <c r="E39" s="241">
        <f>SUM(E34:E38)</f>
        <v>8483778.9516334683</v>
      </c>
      <c r="F39" s="241">
        <f>SUM(F34:F38)</f>
        <v>7932817.4333062051</v>
      </c>
      <c r="G39" s="241">
        <f>SUM(G34:G38)</f>
        <v>129449.40506032901</v>
      </c>
    </row>
    <row r="40" spans="3:7" x14ac:dyDescent="0.25">
      <c r="C40" s="247"/>
    </row>
    <row r="41" spans="3:7" ht="15.75" x14ac:dyDescent="0.25">
      <c r="C41" s="246">
        <v>2020</v>
      </c>
    </row>
    <row r="42" spans="3:7" x14ac:dyDescent="0.25">
      <c r="C42" s="245" t="s">
        <v>186</v>
      </c>
      <c r="D42" s="243"/>
      <c r="E42" s="244">
        <v>0.49467795592463165</v>
      </c>
      <c r="F42" s="244">
        <v>0.49083053809347571</v>
      </c>
      <c r="G42" s="244">
        <v>1.4491505981892531E-2</v>
      </c>
    </row>
    <row r="43" spans="3:7" x14ac:dyDescent="0.25">
      <c r="C43" s="242" t="s">
        <v>185</v>
      </c>
      <c r="D43" s="241">
        <v>23439075.189999998</v>
      </c>
      <c r="E43" s="241">
        <f>+D43*E42</f>
        <v>11594793.803752946</v>
      </c>
      <c r="F43" s="241">
        <f>+D43*F42</f>
        <v>11504613.887921136</v>
      </c>
      <c r="G43" s="241">
        <f>+D43*G42</f>
        <v>339667.4983259138</v>
      </c>
    </row>
    <row r="44" spans="3:7" x14ac:dyDescent="0.25">
      <c r="C44" s="242" t="s">
        <v>184</v>
      </c>
      <c r="D44" s="241">
        <v>-5159019.18</v>
      </c>
      <c r="E44" s="243"/>
      <c r="F44" s="241">
        <f>+D44</f>
        <v>-5159019.18</v>
      </c>
      <c r="G44" s="243"/>
    </row>
    <row r="45" spans="3:7" x14ac:dyDescent="0.25">
      <c r="C45" s="242" t="s">
        <v>183</v>
      </c>
      <c r="D45" s="241">
        <v>45421</v>
      </c>
      <c r="E45" s="243"/>
      <c r="F45" s="241">
        <f>+D45*$F$3</f>
        <v>14988.93</v>
      </c>
      <c r="G45" s="241">
        <f>+D45*$G$3</f>
        <v>30432.070000000003</v>
      </c>
    </row>
    <row r="46" spans="3:7" x14ac:dyDescent="0.25">
      <c r="C46" s="242" t="s">
        <v>182</v>
      </c>
      <c r="D46" s="241">
        <v>-36612.43</v>
      </c>
      <c r="E46" s="243"/>
      <c r="F46" s="243"/>
      <c r="G46" s="241">
        <f>+D46</f>
        <v>-36612.43</v>
      </c>
    </row>
    <row r="47" spans="3:7" x14ac:dyDescent="0.25">
      <c r="C47" s="242" t="s">
        <v>181</v>
      </c>
      <c r="D47" s="241">
        <v>-5063407.13</v>
      </c>
      <c r="E47" s="241">
        <f>+D47</f>
        <v>-5063407.13</v>
      </c>
      <c r="F47" s="243"/>
      <c r="G47" s="243"/>
    </row>
    <row r="48" spans="3:7" x14ac:dyDescent="0.25">
      <c r="C48" s="242"/>
      <c r="D48" s="241">
        <f>SUM(D43:D47)</f>
        <v>13225457.449999999</v>
      </c>
      <c r="E48" s="241">
        <f>SUM(E43:E47)</f>
        <v>6531386.6737529458</v>
      </c>
      <c r="F48" s="241">
        <f>SUM(F43:F47)</f>
        <v>6360583.6379211359</v>
      </c>
      <c r="G48" s="241">
        <f>SUM(G43:G47)</f>
        <v>333487.13832591381</v>
      </c>
    </row>
    <row r="49" spans="3:7" x14ac:dyDescent="0.25">
      <c r="C49" s="247"/>
    </row>
    <row r="50" spans="3:7" ht="15.75" x14ac:dyDescent="0.25">
      <c r="C50" s="246">
        <v>2019</v>
      </c>
    </row>
    <row r="51" spans="3:7" x14ac:dyDescent="0.25">
      <c r="C51" s="245" t="s">
        <v>186</v>
      </c>
      <c r="D51" s="243"/>
      <c r="E51" s="244">
        <v>0.50956457309161229</v>
      </c>
      <c r="F51" s="244">
        <v>0.48546088037267432</v>
      </c>
      <c r="G51" s="244">
        <v>4.9745465357134413E-3</v>
      </c>
    </row>
    <row r="52" spans="3:7" x14ac:dyDescent="0.25">
      <c r="C52" s="242" t="s">
        <v>185</v>
      </c>
      <c r="D52" s="241">
        <v>24394086.68</v>
      </c>
      <c r="E52" s="241">
        <f>+D52*E51</f>
        <v>12430362.365053985</v>
      </c>
      <c r="F52" s="241">
        <f>+D52*F51</f>
        <v>11842374.795560127</v>
      </c>
      <c r="G52" s="241">
        <f>+D52*G51</f>
        <v>121349.5193858874</v>
      </c>
    </row>
    <row r="53" spans="3:7" x14ac:dyDescent="0.25">
      <c r="C53" s="242" t="s">
        <v>184</v>
      </c>
      <c r="D53" s="241">
        <v>-82133.98000000001</v>
      </c>
      <c r="E53" s="243"/>
      <c r="F53" s="241">
        <f>+D53</f>
        <v>-82133.98000000001</v>
      </c>
      <c r="G53" s="243"/>
    </row>
    <row r="54" spans="3:7" x14ac:dyDescent="0.25">
      <c r="C54" s="242" t="s">
        <v>183</v>
      </c>
      <c r="D54" s="241">
        <v>44291</v>
      </c>
      <c r="E54" s="243"/>
      <c r="F54" s="241">
        <f>+D54*$F$3</f>
        <v>14616.03</v>
      </c>
      <c r="G54" s="241">
        <f>+D54*$G$3</f>
        <v>29674.97</v>
      </c>
    </row>
    <row r="55" spans="3:7" x14ac:dyDescent="0.25">
      <c r="C55" s="242" t="s">
        <v>182</v>
      </c>
      <c r="D55" s="241">
        <v>-655.19000000000028</v>
      </c>
      <c r="E55" s="243"/>
      <c r="F55" s="243"/>
      <c r="G55" s="241">
        <f>+D55</f>
        <v>-655.19000000000028</v>
      </c>
    </row>
    <row r="56" spans="3:7" x14ac:dyDescent="0.25">
      <c r="C56" s="242" t="s">
        <v>181</v>
      </c>
      <c r="D56" s="241">
        <v>-76195.590000000084</v>
      </c>
      <c r="E56" s="241">
        <f>+D56</f>
        <v>-76195.590000000084</v>
      </c>
      <c r="F56" s="243"/>
      <c r="G56" s="243"/>
    </row>
    <row r="57" spans="3:7" x14ac:dyDescent="0.25">
      <c r="C57" s="242"/>
      <c r="D57" s="241">
        <f>SUM(D52:D56)</f>
        <v>24279392.919999998</v>
      </c>
      <c r="E57" s="241">
        <f>SUM(E52:E56)</f>
        <v>12354166.775053985</v>
      </c>
      <c r="F57" s="241">
        <f>SUM(F52:F56)</f>
        <v>11774856.845560126</v>
      </c>
      <c r="G57" s="241">
        <f>SUM(G52:G56)</f>
        <v>150369.2993858874</v>
      </c>
    </row>
    <row r="59" spans="3:7" x14ac:dyDescent="0.25">
      <c r="D59" s="27">
        <f>+'4 Year Average Calc'!G7</f>
        <v>22994219</v>
      </c>
      <c r="E59" s="279">
        <f>+D59-D57</f>
        <v>-1285173.9199999981</v>
      </c>
    </row>
    <row r="60" spans="3:7" x14ac:dyDescent="0.25">
      <c r="D60" s="27">
        <f>+'4 Year Average Calc'!G8</f>
        <v>13613595</v>
      </c>
      <c r="E60" s="279">
        <f>+D60-D48</f>
        <v>388137.55000000075</v>
      </c>
    </row>
    <row r="61" spans="3:7" x14ac:dyDescent="0.25">
      <c r="D61" s="27">
        <f>+'4 Year Average Calc'!G9</f>
        <v>16800427</v>
      </c>
      <c r="E61" s="279">
        <f>+D61-D39</f>
        <v>254381.20999999903</v>
      </c>
    </row>
    <row r="62" spans="3:7" x14ac:dyDescent="0.25">
      <c r="D62" s="27">
        <f>+'4 Year Average Calc'!G10</f>
        <v>26446573</v>
      </c>
      <c r="E62" s="279">
        <f>+D62-D30</f>
        <v>-1100469.8999999985</v>
      </c>
    </row>
    <row r="63" spans="3:7" x14ac:dyDescent="0.25">
      <c r="D63" s="27">
        <f>+'4 Year Average Calc'!G11</f>
        <v>33941680.969999999</v>
      </c>
      <c r="E63" s="279">
        <f>+D63-D21</f>
        <v>-1049066.3322616592</v>
      </c>
    </row>
    <row r="64" spans="3:7" x14ac:dyDescent="0.25">
      <c r="D64" s="27">
        <f>+'4 Year Average Calc'!G12</f>
        <v>38284035</v>
      </c>
      <c r="E64" s="279">
        <f>+D64-D12</f>
        <v>37142.19999999553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38"/>
  <sheetViews>
    <sheetView workbookViewId="0">
      <selection activeCell="J25" sqref="J25"/>
    </sheetView>
  </sheetViews>
  <sheetFormatPr defaultColWidth="8.85546875" defaultRowHeight="15" x14ac:dyDescent="0.25"/>
  <cols>
    <col min="1" max="1" width="6.42578125" style="29" customWidth="1"/>
    <col min="2" max="2" width="38" style="29" customWidth="1"/>
    <col min="3" max="3" width="13.7109375" style="29" bestFit="1" customWidth="1"/>
    <col min="4" max="6" width="13.7109375" style="29" customWidth="1"/>
    <col min="7" max="8" width="13.7109375" style="29" bestFit="1" customWidth="1"/>
    <col min="9" max="9" width="18.7109375" style="29" customWidth="1"/>
    <col min="10" max="10" width="13.7109375" style="29" customWidth="1"/>
    <col min="11" max="11" width="13.7109375" style="29" bestFit="1" customWidth="1"/>
    <col min="12" max="12" width="16.5703125" style="29" customWidth="1"/>
    <col min="13" max="13" width="14.7109375" style="29" customWidth="1"/>
    <col min="14" max="14" width="12.140625" style="29" bestFit="1" customWidth="1"/>
    <col min="15" max="15" width="14.42578125" style="29" customWidth="1"/>
    <col min="16" max="16" width="14.28515625" style="29" customWidth="1"/>
    <col min="17" max="17" width="13.140625" style="29" bestFit="1" customWidth="1"/>
    <col min="18" max="18" width="12.28515625" style="29" bestFit="1" customWidth="1"/>
    <col min="19" max="19" width="8.85546875" style="29"/>
    <col min="20" max="20" width="15.85546875" style="29" customWidth="1"/>
    <col min="21" max="21" width="10.7109375" style="29" bestFit="1" customWidth="1"/>
    <col min="22" max="22" width="24.5703125" style="29" bestFit="1" customWidth="1"/>
    <col min="23" max="16384" width="8.85546875" style="29"/>
  </cols>
  <sheetData>
    <row r="1" spans="1:21" x14ac:dyDescent="0.25">
      <c r="A1" s="29" t="s">
        <v>66</v>
      </c>
    </row>
    <row r="2" spans="1:21" x14ac:dyDescent="0.25">
      <c r="A2" s="29" t="s">
        <v>189</v>
      </c>
      <c r="T2" s="72">
        <v>41710062</v>
      </c>
      <c r="U2" s="29" t="s">
        <v>101</v>
      </c>
    </row>
    <row r="3" spans="1:21" x14ac:dyDescent="0.25">
      <c r="B3" s="285" t="s">
        <v>61</v>
      </c>
      <c r="C3" s="285"/>
      <c r="D3" s="285"/>
      <c r="E3" s="285"/>
      <c r="F3" s="285"/>
      <c r="G3" s="285"/>
      <c r="H3" s="285"/>
      <c r="I3" s="285"/>
      <c r="J3" s="285"/>
      <c r="T3" s="30">
        <v>54600140</v>
      </c>
      <c r="U3" s="29" t="s">
        <v>102</v>
      </c>
    </row>
    <row r="4" spans="1:21" x14ac:dyDescent="0.25">
      <c r="T4" s="30">
        <v>56000140</v>
      </c>
      <c r="U4" s="29" t="s">
        <v>102</v>
      </c>
    </row>
    <row r="5" spans="1:21" x14ac:dyDescent="0.25">
      <c r="B5" s="63"/>
      <c r="C5" s="62"/>
      <c r="D5" s="62"/>
      <c r="E5" s="62"/>
      <c r="F5" s="62"/>
      <c r="G5" s="62"/>
      <c r="H5" s="62"/>
      <c r="I5" s="62"/>
      <c r="J5" s="62"/>
      <c r="K5" s="62"/>
      <c r="L5" s="62"/>
      <c r="T5" s="30">
        <v>58000140</v>
      </c>
      <c r="U5" s="29" t="s">
        <v>102</v>
      </c>
    </row>
    <row r="6" spans="1:21" x14ac:dyDescent="0.25">
      <c r="B6" s="64" t="s">
        <v>87</v>
      </c>
      <c r="C6" s="62"/>
      <c r="D6" s="62"/>
      <c r="E6" s="62"/>
      <c r="F6" s="62"/>
      <c r="G6" s="62"/>
      <c r="H6" s="62"/>
      <c r="I6" s="62"/>
      <c r="J6" s="62"/>
      <c r="K6" s="62"/>
      <c r="L6" s="62"/>
      <c r="T6" s="30">
        <v>88000140</v>
      </c>
      <c r="U6" s="29" t="s">
        <v>103</v>
      </c>
    </row>
    <row r="7" spans="1:21" ht="75" x14ac:dyDescent="0.25">
      <c r="A7" s="146"/>
      <c r="B7" s="71" t="s">
        <v>52</v>
      </c>
      <c r="C7" s="278" t="s">
        <v>198</v>
      </c>
      <c r="D7" s="277" t="s">
        <v>196</v>
      </c>
      <c r="E7" s="277" t="s">
        <v>195</v>
      </c>
      <c r="F7" s="277" t="s">
        <v>197</v>
      </c>
      <c r="G7" s="100">
        <v>45627</v>
      </c>
      <c r="H7" s="100">
        <v>45597</v>
      </c>
      <c r="I7" s="100">
        <v>45566</v>
      </c>
      <c r="J7" s="100">
        <v>45536</v>
      </c>
      <c r="K7" s="100">
        <v>45505</v>
      </c>
      <c r="L7" s="100">
        <v>45474</v>
      </c>
      <c r="M7" s="100">
        <v>45444</v>
      </c>
      <c r="N7" s="100">
        <v>45413</v>
      </c>
      <c r="O7" s="100">
        <v>45383</v>
      </c>
      <c r="P7" s="100">
        <v>45352</v>
      </c>
      <c r="Q7" s="100">
        <v>45323</v>
      </c>
      <c r="R7" s="100">
        <v>45292</v>
      </c>
      <c r="T7" s="73">
        <v>92006494</v>
      </c>
      <c r="U7" s="29" t="s">
        <v>104</v>
      </c>
    </row>
    <row r="8" spans="1:21" x14ac:dyDescent="0.25">
      <c r="A8" s="146"/>
      <c r="B8" s="72" t="s">
        <v>62</v>
      </c>
      <c r="C8" s="147">
        <f>F8-D8+E8</f>
        <v>4774.159999999998</v>
      </c>
      <c r="D8" s="147">
        <f>Q8</f>
        <v>18682.79</v>
      </c>
      <c r="E8" s="147">
        <f>E37</f>
        <v>17956.82</v>
      </c>
      <c r="F8" s="294">
        <f>SUM(G8:R8)</f>
        <v>5500.1299999999992</v>
      </c>
      <c r="G8" s="147">
        <v>19012.3</v>
      </c>
      <c r="H8" s="147">
        <v>-16432.240000000002</v>
      </c>
      <c r="I8" s="147">
        <v>-2650.1</v>
      </c>
      <c r="J8" s="147">
        <v>-675.77</v>
      </c>
      <c r="K8" s="147">
        <v>-1157.26</v>
      </c>
      <c r="L8" s="147">
        <v>17207.36</v>
      </c>
      <c r="M8" s="147">
        <v>-9196.2900000000009</v>
      </c>
      <c r="N8" s="147">
        <v>-7376.82</v>
      </c>
      <c r="O8" s="147">
        <v>390.35</v>
      </c>
      <c r="P8" s="147">
        <v>-12304.19</v>
      </c>
      <c r="Q8" s="147">
        <v>18682.79</v>
      </c>
      <c r="R8" s="147">
        <v>0</v>
      </c>
    </row>
    <row r="9" spans="1:21" x14ac:dyDescent="0.25">
      <c r="A9" s="146"/>
      <c r="B9" s="30" t="s">
        <v>82</v>
      </c>
      <c r="C9" s="147">
        <f t="shared" ref="C9:C13" si="0">F9-D9+E9</f>
        <v>72048.689999999944</v>
      </c>
      <c r="D9" s="147">
        <f t="shared" ref="D9:D13" si="1">Q9</f>
        <v>223902.02</v>
      </c>
      <c r="E9" s="147">
        <f>E32</f>
        <v>237546.61</v>
      </c>
      <c r="F9" s="294">
        <f t="shared" ref="F9:F13" si="2">SUM(G9:R9)</f>
        <v>58404.099999999948</v>
      </c>
      <c r="G9" s="147">
        <v>251509.3</v>
      </c>
      <c r="H9" s="147">
        <v>-218357.23</v>
      </c>
      <c r="I9" s="147">
        <v>-35567.74</v>
      </c>
      <c r="J9" s="147">
        <v>-9109.68</v>
      </c>
      <c r="K9" s="147">
        <v>-15741.75</v>
      </c>
      <c r="L9" s="147">
        <v>230711.74</v>
      </c>
      <c r="M9" s="147">
        <v>-122648.18</v>
      </c>
      <c r="N9" s="147">
        <v>-97429.29</v>
      </c>
      <c r="O9" s="147">
        <v>5036.22</v>
      </c>
      <c r="P9" s="147">
        <v>-153901.31</v>
      </c>
      <c r="Q9" s="147">
        <v>223902.02</v>
      </c>
      <c r="R9" s="147">
        <v>0</v>
      </c>
    </row>
    <row r="10" spans="1:21" x14ac:dyDescent="0.25">
      <c r="B10" s="30" t="s">
        <v>83</v>
      </c>
      <c r="C10" s="147">
        <f t="shared" si="0"/>
        <v>26079.950000000019</v>
      </c>
      <c r="D10" s="147">
        <f t="shared" si="1"/>
        <v>83121.509999999995</v>
      </c>
      <c r="E10" s="147">
        <f>E33</f>
        <v>88823.39</v>
      </c>
      <c r="F10" s="294">
        <f t="shared" si="2"/>
        <v>20378.070000000014</v>
      </c>
      <c r="G10" s="147">
        <v>94044.32</v>
      </c>
      <c r="H10" s="147">
        <v>-80824.539999999994</v>
      </c>
      <c r="I10" s="147">
        <v>-13150.5</v>
      </c>
      <c r="J10" s="147">
        <v>-3411.75</v>
      </c>
      <c r="K10" s="147">
        <v>-5954.42</v>
      </c>
      <c r="L10" s="147">
        <v>87853.52</v>
      </c>
      <c r="M10" s="147">
        <v>-46732.53</v>
      </c>
      <c r="N10" s="147">
        <v>-36711.699999999997</v>
      </c>
      <c r="O10" s="147">
        <v>1905.07</v>
      </c>
      <c r="P10" s="147">
        <v>-59760.91</v>
      </c>
      <c r="Q10" s="147">
        <v>83121.509999999995</v>
      </c>
      <c r="R10" s="147">
        <v>0</v>
      </c>
    </row>
    <row r="11" spans="1:21" x14ac:dyDescent="0.25">
      <c r="B11" s="30" t="s">
        <v>84</v>
      </c>
      <c r="C11" s="147">
        <f t="shared" si="0"/>
        <v>81147.139999999956</v>
      </c>
      <c r="D11" s="147">
        <f t="shared" si="1"/>
        <v>268856.53000000003</v>
      </c>
      <c r="E11" s="147">
        <f>E34</f>
        <v>307237.64</v>
      </c>
      <c r="F11" s="294">
        <f t="shared" si="2"/>
        <v>42766.02999999997</v>
      </c>
      <c r="G11" s="147">
        <v>325296.68</v>
      </c>
      <c r="H11" s="147">
        <v>-272123.52000000002</v>
      </c>
      <c r="I11" s="147">
        <v>-44579.4</v>
      </c>
      <c r="J11" s="147">
        <v>-11489.78</v>
      </c>
      <c r="K11" s="147">
        <v>-20065.48</v>
      </c>
      <c r="L11" s="147">
        <v>295449.43</v>
      </c>
      <c r="M11" s="147">
        <v>-158581.85999999999</v>
      </c>
      <c r="N11" s="147">
        <v>-126321.14</v>
      </c>
      <c r="O11" s="147">
        <v>6778.39</v>
      </c>
      <c r="P11" s="147">
        <v>-220453.82</v>
      </c>
      <c r="Q11" s="147">
        <v>268856.53000000003</v>
      </c>
      <c r="R11" s="147">
        <v>0</v>
      </c>
    </row>
    <row r="12" spans="1:21" x14ac:dyDescent="0.25">
      <c r="B12" s="30" t="s">
        <v>85</v>
      </c>
      <c r="C12" s="147">
        <f t="shared" si="0"/>
        <v>51045.84</v>
      </c>
      <c r="D12" s="147">
        <f t="shared" si="1"/>
        <v>236939.78</v>
      </c>
      <c r="E12" s="147">
        <f>E35</f>
        <v>232966.26</v>
      </c>
      <c r="F12" s="294">
        <f t="shared" si="2"/>
        <v>55019.359999999986</v>
      </c>
      <c r="G12" s="147">
        <v>246659.72</v>
      </c>
      <c r="H12" s="147">
        <v>-213523.64</v>
      </c>
      <c r="I12" s="147">
        <v>-34621.35</v>
      </c>
      <c r="J12" s="147">
        <v>-8977.42</v>
      </c>
      <c r="K12" s="147">
        <v>-15571.59</v>
      </c>
      <c r="L12" s="147">
        <v>229042.26</v>
      </c>
      <c r="M12" s="147">
        <v>-124542.05</v>
      </c>
      <c r="N12" s="147">
        <v>-99152.67</v>
      </c>
      <c r="O12" s="147">
        <v>5243.98</v>
      </c>
      <c r="P12" s="147">
        <v>-166477.66</v>
      </c>
      <c r="Q12" s="147">
        <v>236939.78</v>
      </c>
      <c r="R12" s="147">
        <v>0</v>
      </c>
    </row>
    <row r="13" spans="1:21" x14ac:dyDescent="0.25">
      <c r="B13" s="73" t="s">
        <v>86</v>
      </c>
      <c r="C13" s="147">
        <f t="shared" si="0"/>
        <v>138322.97999999992</v>
      </c>
      <c r="D13" s="147">
        <f t="shared" si="1"/>
        <v>571796.02</v>
      </c>
      <c r="E13" s="147">
        <f>E36</f>
        <v>595885.1</v>
      </c>
      <c r="F13" s="294">
        <f t="shared" si="2"/>
        <v>114233.89999999997</v>
      </c>
      <c r="G13" s="147">
        <v>630910.46</v>
      </c>
      <c r="H13" s="147">
        <v>-538278.77</v>
      </c>
      <c r="I13" s="147">
        <v>-85637.97</v>
      </c>
      <c r="J13" s="147">
        <v>-23183.49</v>
      </c>
      <c r="K13" s="147">
        <v>-39431.67</v>
      </c>
      <c r="L13" s="147">
        <v>573988.91</v>
      </c>
      <c r="M13" s="147">
        <v>-323876.46000000002</v>
      </c>
      <c r="N13" s="147">
        <v>-253332.84</v>
      </c>
      <c r="O13" s="147">
        <v>13184.51</v>
      </c>
      <c r="P13" s="147">
        <v>-411904.8</v>
      </c>
      <c r="Q13" s="147">
        <v>571796.02</v>
      </c>
      <c r="R13" s="147">
        <v>0</v>
      </c>
    </row>
    <row r="14" spans="1:21" x14ac:dyDescent="0.25">
      <c r="B14" s="74" t="s">
        <v>63</v>
      </c>
      <c r="C14" s="148">
        <f t="shared" ref="C14:G14" si="3">SUM(C8:C13)</f>
        <v>373418.75999999983</v>
      </c>
      <c r="D14" s="148">
        <f t="shared" si="3"/>
        <v>1403298.6500000001</v>
      </c>
      <c r="E14" s="148">
        <f t="shared" si="3"/>
        <v>1480415.8199999998</v>
      </c>
      <c r="F14" s="276">
        <f t="shared" si="3"/>
        <v>296301.58999999985</v>
      </c>
      <c r="G14" s="148">
        <f t="shared" si="3"/>
        <v>1567432.7799999998</v>
      </c>
      <c r="H14" s="149">
        <f t="shared" ref="H14:K14" si="4">SUM(H8:H13)</f>
        <v>-1339539.94</v>
      </c>
      <c r="I14" s="149">
        <f t="shared" si="4"/>
        <v>-216207.06</v>
      </c>
      <c r="J14" s="149">
        <f t="shared" si="4"/>
        <v>-56847.89</v>
      </c>
      <c r="K14" s="149">
        <f t="shared" si="4"/>
        <v>-97922.17</v>
      </c>
      <c r="L14" s="149">
        <f>SUM(L8:L13)</f>
        <v>1434253.2200000002</v>
      </c>
      <c r="M14" s="149">
        <f>SUM(M8:M13)</f>
        <v>-785577.37</v>
      </c>
      <c r="N14" s="149">
        <v>-620324.46</v>
      </c>
      <c r="O14" s="149">
        <f t="shared" ref="O14:P14" si="5">SUM(O8:O13)</f>
        <v>32538.520000000004</v>
      </c>
      <c r="P14" s="149">
        <f t="shared" si="5"/>
        <v>-1024802.69</v>
      </c>
      <c r="Q14" s="150">
        <f>SUM(Q8:Q13)</f>
        <v>1403298.6500000001</v>
      </c>
      <c r="R14" s="150">
        <f>SUM(R8:R13)</f>
        <v>0</v>
      </c>
    </row>
    <row r="15" spans="1:21" ht="15.75" thickBot="1" x14ac:dyDescent="0.3">
      <c r="B15" s="75" t="s">
        <v>200</v>
      </c>
      <c r="C15" s="101">
        <f>SUM(C14:C14)</f>
        <v>373418.75999999983</v>
      </c>
      <c r="D15" s="101"/>
      <c r="E15" s="101"/>
      <c r="F15" s="101"/>
      <c r="G15" s="101">
        <f t="shared" ref="G15:R15" si="6">+G14</f>
        <v>1567432.7799999998</v>
      </c>
      <c r="H15" s="101">
        <f t="shared" si="6"/>
        <v>-1339539.94</v>
      </c>
      <c r="I15" s="101">
        <f t="shared" si="6"/>
        <v>-216207.06</v>
      </c>
      <c r="J15" s="101">
        <f t="shared" si="6"/>
        <v>-56847.89</v>
      </c>
      <c r="K15" s="101">
        <f t="shared" si="6"/>
        <v>-97922.17</v>
      </c>
      <c r="L15" s="101">
        <f t="shared" si="6"/>
        <v>1434253.2200000002</v>
      </c>
      <c r="M15" s="101">
        <f t="shared" si="6"/>
        <v>-785577.37</v>
      </c>
      <c r="N15" s="101">
        <f t="shared" si="6"/>
        <v>-620324.46</v>
      </c>
      <c r="O15" s="101">
        <f t="shared" si="6"/>
        <v>32538.520000000004</v>
      </c>
      <c r="P15" s="101">
        <f t="shared" si="6"/>
        <v>-1024802.69</v>
      </c>
      <c r="Q15" s="101">
        <f t="shared" si="6"/>
        <v>1403298.6500000001</v>
      </c>
      <c r="R15" s="101">
        <f t="shared" si="6"/>
        <v>0</v>
      </c>
    </row>
    <row r="16" spans="1:21" ht="15.75" thickTop="1" x14ac:dyDescent="0.25">
      <c r="Q16" s="61"/>
    </row>
    <row r="17" spans="2:17" x14ac:dyDescent="0.25">
      <c r="C17" s="286" t="s">
        <v>53</v>
      </c>
      <c r="D17" s="286"/>
      <c r="E17" s="286"/>
      <c r="F17" s="286"/>
      <c r="G17" s="286"/>
      <c r="H17" s="286"/>
      <c r="I17" s="286"/>
      <c r="J17" s="286"/>
      <c r="K17" s="286"/>
      <c r="Q17" s="61"/>
    </row>
    <row r="18" spans="2:17" x14ac:dyDescent="0.25">
      <c r="B18" s="45"/>
      <c r="C18" s="82"/>
      <c r="D18" s="82"/>
      <c r="E18" s="82"/>
      <c r="F18" s="82"/>
      <c r="G18" s="83"/>
      <c r="H18" s="72"/>
      <c r="I18" s="84" t="s">
        <v>54</v>
      </c>
      <c r="J18" s="84"/>
      <c r="K18" s="85"/>
      <c r="Q18" s="151"/>
    </row>
    <row r="19" spans="2:17" x14ac:dyDescent="0.25">
      <c r="B19" s="45"/>
      <c r="C19" s="44" t="s">
        <v>16</v>
      </c>
      <c r="D19" s="44"/>
      <c r="E19" s="44"/>
      <c r="F19" s="44"/>
      <c r="G19" s="44" t="s">
        <v>55</v>
      </c>
      <c r="H19" s="31" t="s">
        <v>56</v>
      </c>
      <c r="I19" s="44" t="s">
        <v>21</v>
      </c>
      <c r="J19" s="44" t="s">
        <v>22</v>
      </c>
      <c r="K19" s="45" t="s">
        <v>16</v>
      </c>
      <c r="M19" s="144"/>
      <c r="N19" s="144"/>
    </row>
    <row r="20" spans="2:17" x14ac:dyDescent="0.25">
      <c r="B20" s="45"/>
      <c r="C20" s="76"/>
      <c r="D20" s="76"/>
      <c r="E20" s="76"/>
      <c r="F20" s="76"/>
      <c r="G20" s="76" t="s">
        <v>31</v>
      </c>
      <c r="H20" s="77" t="s">
        <v>57</v>
      </c>
      <c r="I20" s="102">
        <f>'Incent &amp; Related PR Tax - TY'!C11</f>
        <v>0.74580000000000002</v>
      </c>
      <c r="J20" s="102">
        <f>'Incent &amp; Related PR Tax - TY'!D11</f>
        <v>0.25419999999999998</v>
      </c>
      <c r="K20" s="78"/>
      <c r="M20" s="144"/>
      <c r="N20" s="144"/>
    </row>
    <row r="21" spans="2:17" x14ac:dyDescent="0.25">
      <c r="B21" s="103" t="s">
        <v>21</v>
      </c>
      <c r="C21" s="104">
        <f>SUM(C9:C11)</f>
        <v>179275.77999999991</v>
      </c>
      <c r="D21" s="104"/>
      <c r="E21" s="104"/>
      <c r="F21" s="104"/>
      <c r="G21" s="104"/>
      <c r="H21" s="105">
        <f>SUM(C21:G21)</f>
        <v>179275.77999999991</v>
      </c>
      <c r="I21" s="104">
        <f>+H23*I20</f>
        <v>103161.27848399995</v>
      </c>
      <c r="J21" s="104"/>
      <c r="K21" s="106">
        <f>SUM(H21:J21)</f>
        <v>282437.05848399986</v>
      </c>
      <c r="M21" s="144"/>
      <c r="N21" s="144"/>
    </row>
    <row r="22" spans="2:17" x14ac:dyDescent="0.25">
      <c r="B22" s="103" t="s">
        <v>22</v>
      </c>
      <c r="C22" s="104">
        <f>C12</f>
        <v>51045.84</v>
      </c>
      <c r="D22" s="104"/>
      <c r="E22" s="104"/>
      <c r="F22" s="104"/>
      <c r="G22" s="104"/>
      <c r="H22" s="105">
        <f>SUM(C22:G22)</f>
        <v>51045.84</v>
      </c>
      <c r="I22" s="104"/>
      <c r="J22" s="104">
        <f>+H23*J20</f>
        <v>35161.701515999979</v>
      </c>
      <c r="K22" s="106">
        <f>SUM(H22:J22)</f>
        <v>86207.541515999968</v>
      </c>
      <c r="M22" s="144"/>
    </row>
    <row r="23" spans="2:17" x14ac:dyDescent="0.25">
      <c r="B23" s="103" t="s">
        <v>28</v>
      </c>
      <c r="C23" s="104">
        <f>C13</f>
        <v>138322.97999999992</v>
      </c>
      <c r="D23" s="104"/>
      <c r="E23" s="104"/>
      <c r="F23" s="104"/>
      <c r="G23" s="104"/>
      <c r="H23" s="105">
        <f>SUM(C23:G23)</f>
        <v>138322.97999999992</v>
      </c>
      <c r="I23" s="104">
        <f>-I21</f>
        <v>-103161.27848399995</v>
      </c>
      <c r="J23" s="104">
        <f>-J22</f>
        <v>-35161.701515999979</v>
      </c>
      <c r="K23" s="106">
        <f>SUM(H23:J23)</f>
        <v>0</v>
      </c>
      <c r="M23" s="144"/>
    </row>
    <row r="24" spans="2:17" x14ac:dyDescent="0.25">
      <c r="B24" s="103" t="s">
        <v>58</v>
      </c>
      <c r="C24" s="107">
        <f>SUM(C21:C23)</f>
        <v>368644.59999999986</v>
      </c>
      <c r="D24" s="107"/>
      <c r="E24" s="107"/>
      <c r="F24" s="107"/>
      <c r="G24" s="107">
        <f>SUM(G21:G23)</f>
        <v>0</v>
      </c>
      <c r="H24" s="108">
        <f>SUM(C24:G24)</f>
        <v>368644.59999999986</v>
      </c>
      <c r="I24" s="107">
        <f>SUM(I21:I23)</f>
        <v>0</v>
      </c>
      <c r="J24" s="107">
        <f>SUM(J21:J23)</f>
        <v>0</v>
      </c>
      <c r="K24" s="109">
        <f>SUM(K21:K23)</f>
        <v>368644.59999999986</v>
      </c>
      <c r="M24" s="144"/>
    </row>
    <row r="25" spans="2:17" x14ac:dyDescent="0.25">
      <c r="B25" s="103" t="s">
        <v>59</v>
      </c>
      <c r="C25" s="104">
        <f>C8</f>
        <v>4774.159999999998</v>
      </c>
      <c r="D25" s="104"/>
      <c r="E25" s="104"/>
      <c r="F25" s="104"/>
      <c r="G25" s="104">
        <f>-C8</f>
        <v>-4774.159999999998</v>
      </c>
      <c r="H25" s="105">
        <f>SUM(C25:G25)</f>
        <v>0</v>
      </c>
      <c r="I25" s="104"/>
      <c r="J25" s="104"/>
      <c r="K25" s="106">
        <f>SUM(H25:J25)</f>
        <v>0</v>
      </c>
      <c r="M25" s="144"/>
    </row>
    <row r="26" spans="2:17" ht="15.75" thickBot="1" x14ac:dyDescent="0.3">
      <c r="B26" s="103" t="s">
        <v>60</v>
      </c>
      <c r="C26" s="79">
        <f>+C24+C25</f>
        <v>373418.75999999983</v>
      </c>
      <c r="D26" s="79"/>
      <c r="E26" s="79"/>
      <c r="F26" s="79"/>
      <c r="G26" s="79">
        <f t="shared" ref="G26:J26" si="7">+G24+G25</f>
        <v>-4774.159999999998</v>
      </c>
      <c r="H26" s="110">
        <f>+H24+H25</f>
        <v>368644.59999999986</v>
      </c>
      <c r="I26" s="79">
        <f t="shared" si="7"/>
        <v>0</v>
      </c>
      <c r="J26" s="79">
        <f t="shared" si="7"/>
        <v>0</v>
      </c>
      <c r="K26" s="111">
        <f>+K24+K25</f>
        <v>368644.59999999986</v>
      </c>
      <c r="M26" s="144"/>
    </row>
    <row r="27" spans="2:17" ht="15.75" thickTop="1" x14ac:dyDescent="0.25">
      <c r="H27" s="73"/>
      <c r="I27" s="80"/>
      <c r="J27" s="80"/>
      <c r="K27" s="81"/>
      <c r="M27" s="144"/>
    </row>
    <row r="28" spans="2:17" ht="15.75" thickBot="1" x14ac:dyDescent="0.3">
      <c r="B28" s="43" t="s">
        <v>90</v>
      </c>
      <c r="C28" s="79">
        <f>'Report 2024'!L29</f>
        <v>373418.76000000024</v>
      </c>
      <c r="D28" s="104"/>
      <c r="E28" s="104"/>
      <c r="F28" s="104"/>
      <c r="G28" s="195">
        <f>+'Report 2024'!L27</f>
        <v>1567432.78</v>
      </c>
      <c r="H28" s="66"/>
      <c r="M28" s="144"/>
    </row>
    <row r="29" spans="2:17" ht="15.75" thickTop="1" x14ac:dyDescent="0.25">
      <c r="B29" s="43" t="s">
        <v>64</v>
      </c>
      <c r="C29" s="295">
        <f>+C28-C26</f>
        <v>0</v>
      </c>
      <c r="D29" s="295"/>
      <c r="E29" s="295"/>
      <c r="F29" s="295"/>
      <c r="G29" s="195">
        <f>+G28-G14</f>
        <v>0</v>
      </c>
      <c r="H29" s="46"/>
      <c r="I29" s="46"/>
      <c r="M29" s="144"/>
    </row>
    <row r="30" spans="2:17" x14ac:dyDescent="0.25">
      <c r="G30" s="42"/>
      <c r="H30" s="42"/>
      <c r="M30" s="144"/>
    </row>
    <row r="31" spans="2:17" x14ac:dyDescent="0.25">
      <c r="B31" s="46"/>
      <c r="D31" s="42"/>
      <c r="E31" s="29" t="s">
        <v>194</v>
      </c>
      <c r="I31" s="29" t="s">
        <v>193</v>
      </c>
      <c r="O31" s="152"/>
    </row>
    <row r="32" spans="2:17" x14ac:dyDescent="0.25">
      <c r="B32"/>
      <c r="C32" s="220">
        <v>45698</v>
      </c>
      <c r="D32" s="30">
        <v>54600140</v>
      </c>
      <c r="E32" s="42">
        <v>237546.61</v>
      </c>
      <c r="I32" s="195">
        <f>'FERC Topsides'!F37</f>
        <v>223902.02495342732</v>
      </c>
      <c r="O32" s="152"/>
    </row>
    <row r="33" spans="2:15" x14ac:dyDescent="0.25">
      <c r="B33"/>
      <c r="C33" s="220">
        <v>45698</v>
      </c>
      <c r="D33" s="30">
        <v>56000140</v>
      </c>
      <c r="E33" s="42">
        <v>88823.39</v>
      </c>
      <c r="I33" s="195">
        <f>'FERC Topsides'!F38</f>
        <v>83121.511496370411</v>
      </c>
      <c r="O33" s="152"/>
    </row>
    <row r="34" spans="2:15" x14ac:dyDescent="0.25">
      <c r="C34" s="220">
        <v>45698</v>
      </c>
      <c r="D34" s="30">
        <v>58000140</v>
      </c>
      <c r="E34" s="42">
        <v>307237.64</v>
      </c>
      <c r="I34" s="195">
        <f>'FERC Topsides'!F39</f>
        <v>268856.52527573064</v>
      </c>
      <c r="O34" s="152"/>
    </row>
    <row r="35" spans="2:15" x14ac:dyDescent="0.25">
      <c r="C35" s="220">
        <v>45698</v>
      </c>
      <c r="D35" s="30">
        <v>88000140</v>
      </c>
      <c r="E35" s="42">
        <v>232966.26</v>
      </c>
      <c r="I35" s="195">
        <f>'FERC Topsides'!F40</f>
        <v>236939.77615617967</v>
      </c>
      <c r="O35" s="152"/>
    </row>
    <row r="36" spans="2:15" x14ac:dyDescent="0.25">
      <c r="C36" s="220">
        <v>45698</v>
      </c>
      <c r="D36" s="30">
        <v>92006494</v>
      </c>
      <c r="E36" s="152">
        <v>595885.1</v>
      </c>
      <c r="I36" s="195">
        <f>'FERC Topsides'!F41</f>
        <v>571796.01978962251</v>
      </c>
      <c r="O36" s="152"/>
    </row>
    <row r="37" spans="2:15" x14ac:dyDescent="0.25">
      <c r="C37" s="220">
        <v>45698</v>
      </c>
      <c r="D37" s="30">
        <v>41710062</v>
      </c>
      <c r="E37" s="152">
        <v>17956.82</v>
      </c>
      <c r="I37" s="195">
        <f>'FERC Topsides'!F42</f>
        <v>18682.794590340232</v>
      </c>
      <c r="O37" s="152"/>
    </row>
    <row r="38" spans="2:15" x14ac:dyDescent="0.25">
      <c r="E38" s="148">
        <f>SUM(E32:E37)</f>
        <v>1480415.82</v>
      </c>
      <c r="I38" s="195">
        <f>SUM(I32:I37)</f>
        <v>1403298.6522616709</v>
      </c>
      <c r="O38" s="152"/>
    </row>
  </sheetData>
  <mergeCells count="2">
    <mergeCell ref="B3:J3"/>
    <mergeCell ref="C17:K1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46"/>
  <sheetViews>
    <sheetView showGridLines="0" topLeftCell="A22" workbookViewId="0">
      <selection activeCell="I55" sqref="I55"/>
    </sheetView>
  </sheetViews>
  <sheetFormatPr defaultColWidth="8.85546875" defaultRowHeight="15" x14ac:dyDescent="0.25"/>
  <cols>
    <col min="1" max="2" width="8.85546875" style="96"/>
    <col min="3" max="3" width="25.7109375" style="96" customWidth="1"/>
    <col min="4" max="4" width="13.28515625" style="96" bestFit="1" customWidth="1"/>
    <col min="5" max="5" width="13.28515625" style="96" customWidth="1"/>
    <col min="6" max="6" width="20" style="96" customWidth="1"/>
    <col min="7" max="7" width="18" style="96" customWidth="1"/>
    <col min="8" max="8" width="12.5703125" style="96" customWidth="1"/>
    <col min="9" max="9" width="25.7109375" style="96" customWidth="1"/>
    <col min="10" max="10" width="11.28515625" style="96" customWidth="1"/>
    <col min="11" max="16384" width="8.85546875" style="96"/>
  </cols>
  <sheetData>
    <row r="3" spans="2:10" x14ac:dyDescent="0.25">
      <c r="B3" s="221" t="s">
        <v>135</v>
      </c>
      <c r="C3" s="221" t="s">
        <v>30</v>
      </c>
      <c r="D3" s="221" t="s">
        <v>136</v>
      </c>
      <c r="E3" s="221" t="s">
        <v>137</v>
      </c>
      <c r="F3" s="221" t="s">
        <v>138</v>
      </c>
      <c r="G3" s="221" t="s">
        <v>139</v>
      </c>
      <c r="H3" s="221" t="s">
        <v>140</v>
      </c>
      <c r="I3" s="221" t="s">
        <v>141</v>
      </c>
      <c r="J3" s="221" t="s">
        <v>142</v>
      </c>
    </row>
    <row r="4" spans="2:10" x14ac:dyDescent="0.25">
      <c r="B4" s="222">
        <v>1</v>
      </c>
      <c r="C4" s="223" t="s">
        <v>143</v>
      </c>
      <c r="D4" s="223">
        <v>65000010</v>
      </c>
      <c r="E4" s="223">
        <v>55500628</v>
      </c>
      <c r="F4" s="224">
        <v>19836872.25</v>
      </c>
      <c r="G4" s="224"/>
      <c r="H4" s="83" t="s">
        <v>144</v>
      </c>
      <c r="I4" s="223" t="s">
        <v>145</v>
      </c>
      <c r="J4" s="225" t="s">
        <v>146</v>
      </c>
    </row>
    <row r="5" spans="2:10" x14ac:dyDescent="0.25">
      <c r="B5" s="226"/>
      <c r="C5" s="227"/>
      <c r="D5" s="227">
        <v>15810021</v>
      </c>
      <c r="E5" s="227"/>
      <c r="F5" s="228"/>
      <c r="G5" s="228">
        <f>F4</f>
        <v>19836872.25</v>
      </c>
      <c r="H5" s="227" t="s">
        <v>147</v>
      </c>
      <c r="I5" s="227" t="s">
        <v>148</v>
      </c>
      <c r="J5" s="229" t="s">
        <v>146</v>
      </c>
    </row>
    <row r="6" spans="2:10" x14ac:dyDescent="0.25">
      <c r="B6" s="226"/>
      <c r="C6" s="227"/>
      <c r="D6" s="227">
        <v>18239831</v>
      </c>
      <c r="E6" s="227"/>
      <c r="F6" s="228">
        <f>F4</f>
        <v>19836872.25</v>
      </c>
      <c r="G6" s="228"/>
      <c r="H6" s="227" t="s">
        <v>147</v>
      </c>
      <c r="I6" s="227" t="s">
        <v>149</v>
      </c>
      <c r="J6" s="229" t="s">
        <v>150</v>
      </c>
    </row>
    <row r="7" spans="2:10" x14ac:dyDescent="0.25">
      <c r="B7" s="230"/>
      <c r="C7" s="3"/>
      <c r="D7" s="3">
        <v>65000010</v>
      </c>
      <c r="E7" s="3">
        <v>40740275</v>
      </c>
      <c r="F7" s="231"/>
      <c r="G7" s="231">
        <f>F6</f>
        <v>19836872.25</v>
      </c>
      <c r="H7" s="80" t="s">
        <v>144</v>
      </c>
      <c r="I7" s="3" t="s">
        <v>151</v>
      </c>
      <c r="J7" s="232" t="s">
        <v>152</v>
      </c>
    </row>
    <row r="8" spans="2:10" x14ac:dyDescent="0.25">
      <c r="F8" s="233"/>
      <c r="G8" s="233"/>
    </row>
    <row r="9" spans="2:10" x14ac:dyDescent="0.25">
      <c r="B9" s="222">
        <v>2</v>
      </c>
      <c r="C9" s="223" t="s">
        <v>153</v>
      </c>
      <c r="D9" s="223">
        <v>10500501</v>
      </c>
      <c r="E9" s="223"/>
      <c r="F9" s="224">
        <v>4541268</v>
      </c>
      <c r="G9" s="224"/>
      <c r="H9" s="223" t="s">
        <v>147</v>
      </c>
      <c r="I9" s="223" t="s">
        <v>154</v>
      </c>
      <c r="J9" s="225" t="s">
        <v>155</v>
      </c>
    </row>
    <row r="10" spans="2:10" x14ac:dyDescent="0.25">
      <c r="B10" s="230"/>
      <c r="C10" s="3"/>
      <c r="D10" s="3">
        <v>10700601</v>
      </c>
      <c r="E10" s="3"/>
      <c r="F10" s="231"/>
      <c r="G10" s="231">
        <v>4541268</v>
      </c>
      <c r="H10" s="3" t="s">
        <v>147</v>
      </c>
      <c r="I10" s="3" t="s">
        <v>154</v>
      </c>
      <c r="J10" s="232" t="s">
        <v>155</v>
      </c>
    </row>
    <row r="11" spans="2:10" x14ac:dyDescent="0.25">
      <c r="F11" s="233"/>
      <c r="G11" s="233"/>
    </row>
    <row r="12" spans="2:10" x14ac:dyDescent="0.25">
      <c r="B12" s="222">
        <v>3</v>
      </c>
      <c r="C12" s="223" t="s">
        <v>156</v>
      </c>
      <c r="D12" s="223">
        <v>10100501</v>
      </c>
      <c r="E12" s="223"/>
      <c r="F12" s="224">
        <v>14784046.33</v>
      </c>
      <c r="G12" s="224"/>
      <c r="H12" s="223" t="s">
        <v>147</v>
      </c>
      <c r="I12" s="223" t="s">
        <v>157</v>
      </c>
      <c r="J12" s="225" t="s">
        <v>158</v>
      </c>
    </row>
    <row r="13" spans="2:10" x14ac:dyDescent="0.25">
      <c r="B13" s="226"/>
      <c r="C13" s="227"/>
      <c r="D13" s="227">
        <v>18231391</v>
      </c>
      <c r="E13" s="227"/>
      <c r="F13" s="228"/>
      <c r="G13" s="228">
        <v>14784046.33</v>
      </c>
      <c r="H13" s="227" t="s">
        <v>147</v>
      </c>
      <c r="I13" s="227" t="s">
        <v>159</v>
      </c>
      <c r="J13" s="229" t="s">
        <v>150</v>
      </c>
    </row>
    <row r="14" spans="2:10" x14ac:dyDescent="0.25">
      <c r="B14" s="226"/>
      <c r="C14" s="227"/>
      <c r="D14" s="227">
        <v>10800502</v>
      </c>
      <c r="E14" s="227"/>
      <c r="F14" s="228"/>
      <c r="G14" s="228">
        <v>2722129.91</v>
      </c>
      <c r="H14" s="227" t="s">
        <v>147</v>
      </c>
      <c r="I14" s="227" t="s">
        <v>160</v>
      </c>
      <c r="J14" s="229" t="s">
        <v>158</v>
      </c>
    </row>
    <row r="15" spans="2:10" x14ac:dyDescent="0.25">
      <c r="B15" s="230"/>
      <c r="C15" s="3"/>
      <c r="D15" s="3">
        <v>18231392</v>
      </c>
      <c r="E15" s="3"/>
      <c r="F15" s="231">
        <v>2722129.91</v>
      </c>
      <c r="G15" s="231"/>
      <c r="H15" s="3" t="s">
        <v>147</v>
      </c>
      <c r="I15" s="3" t="s">
        <v>159</v>
      </c>
      <c r="J15" s="232" t="s">
        <v>150</v>
      </c>
    </row>
    <row r="16" spans="2:10" x14ac:dyDescent="0.25">
      <c r="F16" s="233"/>
      <c r="G16" s="233"/>
    </row>
    <row r="17" spans="2:18" x14ac:dyDescent="0.25">
      <c r="B17" s="234">
        <v>4</v>
      </c>
      <c r="C17" s="235" t="s">
        <v>161</v>
      </c>
      <c r="D17" s="235" t="s">
        <v>162</v>
      </c>
      <c r="E17" s="235" t="s">
        <v>162</v>
      </c>
      <c r="F17" s="236" t="s">
        <v>162</v>
      </c>
      <c r="G17" s="236" t="s">
        <v>162</v>
      </c>
      <c r="H17" s="235" t="s">
        <v>162</v>
      </c>
      <c r="I17" s="235" t="s">
        <v>162</v>
      </c>
      <c r="J17" s="237" t="s">
        <v>162</v>
      </c>
    </row>
    <row r="18" spans="2:18" x14ac:dyDescent="0.25">
      <c r="F18" s="233"/>
      <c r="G18" s="233"/>
    </row>
    <row r="19" spans="2:18" x14ac:dyDescent="0.25">
      <c r="B19" s="222">
        <v>5</v>
      </c>
      <c r="C19" s="223" t="s">
        <v>163</v>
      </c>
      <c r="D19" s="223">
        <v>25401202</v>
      </c>
      <c r="E19" s="223"/>
      <c r="F19" s="224">
        <v>27029071.899999999</v>
      </c>
      <c r="G19" s="224"/>
      <c r="H19" s="223" t="s">
        <v>147</v>
      </c>
      <c r="I19" s="223" t="s">
        <v>149</v>
      </c>
      <c r="J19" s="225" t="s">
        <v>150</v>
      </c>
    </row>
    <row r="20" spans="2:18" x14ac:dyDescent="0.25">
      <c r="B20" s="226"/>
      <c r="C20" s="227"/>
      <c r="D20" s="227">
        <v>17300002</v>
      </c>
      <c r="E20" s="227"/>
      <c r="F20" s="228"/>
      <c r="G20" s="228">
        <v>27029071.899999999</v>
      </c>
      <c r="H20" s="227" t="s">
        <v>147</v>
      </c>
      <c r="I20" s="227" t="s">
        <v>164</v>
      </c>
      <c r="J20" s="229" t="s">
        <v>152</v>
      </c>
    </row>
    <row r="21" spans="2:18" x14ac:dyDescent="0.25">
      <c r="B21" s="226"/>
      <c r="C21" s="227"/>
      <c r="E21" s="227">
        <v>40740420</v>
      </c>
      <c r="F21" s="228"/>
      <c r="G21" s="228">
        <v>27029071.899999999</v>
      </c>
      <c r="H21" s="63" t="s">
        <v>144</v>
      </c>
      <c r="I21" s="227" t="s">
        <v>165</v>
      </c>
      <c r="J21" s="229" t="s">
        <v>152</v>
      </c>
    </row>
    <row r="22" spans="2:18" x14ac:dyDescent="0.25">
      <c r="B22" s="226"/>
      <c r="C22" s="227"/>
      <c r="D22" s="227"/>
      <c r="E22" s="227">
        <v>48000016</v>
      </c>
      <c r="F22" s="228">
        <v>16556609.699999999</v>
      </c>
      <c r="G22" s="228"/>
      <c r="H22" s="63" t="s">
        <v>144</v>
      </c>
      <c r="I22" s="227" t="s">
        <v>166</v>
      </c>
      <c r="J22" s="229" t="s">
        <v>167</v>
      </c>
    </row>
    <row r="23" spans="2:18" x14ac:dyDescent="0.25">
      <c r="B23" s="226"/>
      <c r="C23" s="227"/>
      <c r="D23" s="227"/>
      <c r="E23" s="227">
        <v>48100016</v>
      </c>
      <c r="F23" s="228">
        <v>6567173.0199999996</v>
      </c>
      <c r="G23" s="228"/>
      <c r="H23" s="63" t="s">
        <v>144</v>
      </c>
      <c r="I23" s="227" t="s">
        <v>166</v>
      </c>
      <c r="J23" s="229" t="s">
        <v>167</v>
      </c>
    </row>
    <row r="24" spans="2:18" x14ac:dyDescent="0.25">
      <c r="B24" s="226"/>
      <c r="C24" s="227"/>
      <c r="D24" s="227"/>
      <c r="E24" s="227">
        <v>48100316</v>
      </c>
      <c r="F24" s="228">
        <v>264189.77</v>
      </c>
      <c r="G24" s="228"/>
      <c r="H24" s="63" t="s">
        <v>144</v>
      </c>
      <c r="I24" s="227" t="s">
        <v>166</v>
      </c>
      <c r="J24" s="229" t="s">
        <v>167</v>
      </c>
    </row>
    <row r="25" spans="2:18" x14ac:dyDescent="0.25">
      <c r="B25" s="226"/>
      <c r="C25" s="227"/>
      <c r="D25" s="227"/>
      <c r="E25" s="227">
        <v>48100506</v>
      </c>
      <c r="F25" s="228">
        <v>334779.07</v>
      </c>
      <c r="G25" s="228"/>
      <c r="H25" s="63" t="s">
        <v>144</v>
      </c>
      <c r="I25" s="227" t="s">
        <v>166</v>
      </c>
      <c r="J25" s="229" t="s">
        <v>167</v>
      </c>
    </row>
    <row r="26" spans="2:18" x14ac:dyDescent="0.25">
      <c r="B26" s="226"/>
      <c r="C26" s="227"/>
      <c r="D26" s="227"/>
      <c r="E26" s="227">
        <v>48100806</v>
      </c>
      <c r="F26" s="228">
        <v>47333.15</v>
      </c>
      <c r="G26" s="228"/>
      <c r="H26" s="63" t="s">
        <v>144</v>
      </c>
      <c r="I26" s="227" t="s">
        <v>166</v>
      </c>
      <c r="J26" s="229" t="s">
        <v>167</v>
      </c>
    </row>
    <row r="27" spans="2:18" x14ac:dyDescent="0.25">
      <c r="B27" s="226"/>
      <c r="C27" s="227"/>
      <c r="D27" s="227"/>
      <c r="E27" s="227">
        <v>48900116</v>
      </c>
      <c r="F27" s="228">
        <v>1306488.56</v>
      </c>
      <c r="G27" s="228"/>
      <c r="H27" s="63" t="s">
        <v>144</v>
      </c>
      <c r="I27" s="227" t="s">
        <v>166</v>
      </c>
      <c r="J27" s="229" t="s">
        <v>167</v>
      </c>
    </row>
    <row r="28" spans="2:18" x14ac:dyDescent="0.25">
      <c r="B28" s="230"/>
      <c r="C28" s="3"/>
      <c r="D28" s="3"/>
      <c r="E28" s="3">
        <v>48900516</v>
      </c>
      <c r="F28" s="231">
        <v>1952498.63</v>
      </c>
      <c r="G28" s="231"/>
      <c r="H28" s="80" t="s">
        <v>144</v>
      </c>
      <c r="I28" s="3" t="s">
        <v>166</v>
      </c>
      <c r="J28" s="232" t="s">
        <v>167</v>
      </c>
    </row>
    <row r="29" spans="2:18" x14ac:dyDescent="0.25">
      <c r="F29" s="296"/>
      <c r="G29" s="296"/>
    </row>
    <row r="30" spans="2:18" x14ac:dyDescent="0.25">
      <c r="B30" s="222">
        <v>6</v>
      </c>
      <c r="C30" s="223" t="s">
        <v>168</v>
      </c>
      <c r="D30" s="223">
        <v>22830023</v>
      </c>
      <c r="E30" s="223"/>
      <c r="F30" s="297">
        <v>8769551.7400000002</v>
      </c>
      <c r="G30" s="297"/>
      <c r="H30" s="83" t="s">
        <v>147</v>
      </c>
      <c r="I30" s="223" t="s">
        <v>169</v>
      </c>
      <c r="J30" s="225" t="s">
        <v>152</v>
      </c>
      <c r="L30"/>
      <c r="M30"/>
      <c r="N30"/>
      <c r="O30"/>
      <c r="P30"/>
      <c r="Q30"/>
      <c r="R30"/>
    </row>
    <row r="31" spans="2:18" x14ac:dyDescent="0.25">
      <c r="B31" s="230"/>
      <c r="C31" s="3"/>
      <c r="D31" s="3">
        <v>21900143</v>
      </c>
      <c r="E31" s="3"/>
      <c r="F31" s="298"/>
      <c r="G31" s="298">
        <v>8769551.7400000002</v>
      </c>
      <c r="H31" s="80" t="s">
        <v>147</v>
      </c>
      <c r="I31" s="3" t="s">
        <v>169</v>
      </c>
      <c r="J31" s="232" t="s">
        <v>152</v>
      </c>
      <c r="L31"/>
      <c r="M31"/>
      <c r="N31"/>
      <c r="O31"/>
      <c r="P31"/>
      <c r="Q31"/>
      <c r="R31"/>
    </row>
    <row r="32" spans="2:18" x14ac:dyDescent="0.25">
      <c r="F32" s="296"/>
      <c r="G32" s="296"/>
      <c r="L32"/>
      <c r="M32"/>
      <c r="N32"/>
      <c r="O32"/>
      <c r="P32"/>
      <c r="Q32"/>
      <c r="R32"/>
    </row>
    <row r="33" spans="2:18" x14ac:dyDescent="0.25">
      <c r="B33" s="222">
        <v>7</v>
      </c>
      <c r="C33" s="223" t="s">
        <v>170</v>
      </c>
      <c r="D33" s="223">
        <v>23200483</v>
      </c>
      <c r="E33" s="223"/>
      <c r="F33" s="297"/>
      <c r="G33" s="297">
        <v>3001216.92</v>
      </c>
      <c r="H33" s="223" t="s">
        <v>147</v>
      </c>
      <c r="I33" s="223" t="s">
        <v>164</v>
      </c>
      <c r="J33" s="225" t="s">
        <v>152</v>
      </c>
      <c r="L33"/>
      <c r="M33"/>
      <c r="N33"/>
      <c r="O33"/>
      <c r="P33"/>
      <c r="Q33"/>
      <c r="R33"/>
    </row>
    <row r="34" spans="2:18" x14ac:dyDescent="0.25">
      <c r="B34" s="226"/>
      <c r="C34" s="227"/>
      <c r="D34" s="227">
        <v>10700601</v>
      </c>
      <c r="E34" s="227"/>
      <c r="F34" s="299">
        <v>655747.28</v>
      </c>
      <c r="G34" s="299"/>
      <c r="H34" s="227" t="s">
        <v>147</v>
      </c>
      <c r="I34" s="227" t="s">
        <v>154</v>
      </c>
      <c r="J34" s="229" t="s">
        <v>155</v>
      </c>
      <c r="L34"/>
      <c r="M34"/>
      <c r="N34"/>
      <c r="O34"/>
      <c r="P34"/>
      <c r="Q34"/>
      <c r="R34"/>
    </row>
    <row r="35" spans="2:18" x14ac:dyDescent="0.25">
      <c r="B35" s="226"/>
      <c r="C35" s="227"/>
      <c r="D35" s="227">
        <v>10700602</v>
      </c>
      <c r="E35" s="227"/>
      <c r="F35" s="228">
        <v>269800.3</v>
      </c>
      <c r="G35" s="228"/>
      <c r="H35" s="227" t="s">
        <v>147</v>
      </c>
      <c r="I35" s="227" t="s">
        <v>154</v>
      </c>
      <c r="J35" s="229" t="s">
        <v>155</v>
      </c>
    </row>
    <row r="36" spans="2:18" x14ac:dyDescent="0.25">
      <c r="B36" s="226"/>
      <c r="C36" s="227"/>
      <c r="D36" s="227">
        <v>10700603</v>
      </c>
      <c r="E36" s="227"/>
      <c r="F36" s="228">
        <v>672370.69</v>
      </c>
      <c r="G36" s="228"/>
      <c r="H36" s="227" t="s">
        <v>147</v>
      </c>
      <c r="I36" s="227" t="s">
        <v>154</v>
      </c>
      <c r="J36" s="229" t="s">
        <v>155</v>
      </c>
    </row>
    <row r="37" spans="2:18" x14ac:dyDescent="0.25">
      <c r="B37" s="226"/>
      <c r="C37" s="227"/>
      <c r="D37" s="227"/>
      <c r="E37" s="227">
        <v>54600140</v>
      </c>
      <c r="F37" s="228">
        <v>223902.02495342732</v>
      </c>
      <c r="G37" s="228"/>
      <c r="H37" s="227" t="s">
        <v>147</v>
      </c>
      <c r="I37" s="227" t="s">
        <v>171</v>
      </c>
      <c r="J37" s="229" t="s">
        <v>152</v>
      </c>
    </row>
    <row r="38" spans="2:18" x14ac:dyDescent="0.25">
      <c r="B38" s="226"/>
      <c r="C38" s="227"/>
      <c r="D38" s="227"/>
      <c r="E38" s="227">
        <v>56000140</v>
      </c>
      <c r="F38" s="228">
        <v>83121.511496370411</v>
      </c>
      <c r="G38" s="228"/>
      <c r="H38" s="227" t="s">
        <v>147</v>
      </c>
      <c r="I38" s="227" t="s">
        <v>172</v>
      </c>
      <c r="J38" s="229" t="s">
        <v>152</v>
      </c>
    </row>
    <row r="39" spans="2:18" x14ac:dyDescent="0.25">
      <c r="B39" s="226"/>
      <c r="C39" s="227"/>
      <c r="D39" s="227"/>
      <c r="E39" s="227">
        <v>58000140</v>
      </c>
      <c r="F39" s="228">
        <v>268856.52527573064</v>
      </c>
      <c r="G39" s="228"/>
      <c r="H39" s="227" t="s">
        <v>147</v>
      </c>
      <c r="I39" s="227" t="s">
        <v>173</v>
      </c>
      <c r="J39" s="229" t="s">
        <v>152</v>
      </c>
    </row>
    <row r="40" spans="2:18" x14ac:dyDescent="0.25">
      <c r="B40" s="226"/>
      <c r="C40" s="227"/>
      <c r="D40" s="227"/>
      <c r="E40" s="227">
        <v>88000140</v>
      </c>
      <c r="F40" s="228">
        <v>236939.77615617967</v>
      </c>
      <c r="G40" s="228"/>
      <c r="H40" s="227" t="s">
        <v>147</v>
      </c>
      <c r="I40" s="227" t="s">
        <v>174</v>
      </c>
      <c r="J40" s="229" t="s">
        <v>152</v>
      </c>
    </row>
    <row r="41" spans="2:18" x14ac:dyDescent="0.25">
      <c r="B41" s="226"/>
      <c r="C41" s="227"/>
      <c r="D41" s="227"/>
      <c r="E41" s="227">
        <v>92006494</v>
      </c>
      <c r="F41" s="228">
        <v>571796.01978962251</v>
      </c>
      <c r="G41" s="228"/>
      <c r="H41" s="227" t="s">
        <v>147</v>
      </c>
      <c r="I41" s="227" t="s">
        <v>175</v>
      </c>
      <c r="J41" s="229" t="s">
        <v>152</v>
      </c>
    </row>
    <row r="42" spans="2:18" x14ac:dyDescent="0.25">
      <c r="B42" s="226"/>
      <c r="C42" s="227"/>
      <c r="D42" s="227"/>
      <c r="E42" s="227">
        <v>41710062</v>
      </c>
      <c r="F42" s="228">
        <v>18682.794590340232</v>
      </c>
      <c r="G42" s="228"/>
      <c r="H42" s="227" t="s">
        <v>147</v>
      </c>
      <c r="I42" s="227" t="s">
        <v>165</v>
      </c>
      <c r="J42" s="229" t="s">
        <v>152</v>
      </c>
    </row>
    <row r="43" spans="2:18" x14ac:dyDescent="0.25">
      <c r="B43" s="226"/>
      <c r="C43" s="227"/>
      <c r="D43" s="227">
        <v>23600033</v>
      </c>
      <c r="E43" s="227"/>
      <c r="F43" s="228">
        <v>294692.71999999997</v>
      </c>
      <c r="G43" s="228"/>
      <c r="H43" s="227" t="s">
        <v>147</v>
      </c>
      <c r="I43" s="63" t="s">
        <v>164</v>
      </c>
      <c r="J43" s="229" t="s">
        <v>152</v>
      </c>
    </row>
    <row r="44" spans="2:18" x14ac:dyDescent="0.25">
      <c r="B44" s="230"/>
      <c r="C44" s="3"/>
      <c r="D44" s="3"/>
      <c r="E44" s="3">
        <v>4091</v>
      </c>
      <c r="F44" s="231"/>
      <c r="G44" s="231">
        <v>294692.71999999997</v>
      </c>
      <c r="H44" s="3" t="s">
        <v>147</v>
      </c>
      <c r="I44" s="3" t="s">
        <v>165</v>
      </c>
      <c r="J44" s="232" t="s">
        <v>152</v>
      </c>
    </row>
    <row r="45" spans="2:18" x14ac:dyDescent="0.25">
      <c r="F45" s="233"/>
      <c r="G45" s="236"/>
    </row>
    <row r="46" spans="2:18" x14ac:dyDescent="0.25">
      <c r="B46" s="222">
        <v>8</v>
      </c>
      <c r="C46" s="223" t="s">
        <v>176</v>
      </c>
      <c r="D46" s="223">
        <v>25300293</v>
      </c>
      <c r="E46" s="223"/>
      <c r="F46" s="224"/>
      <c r="G46" s="228">
        <v>2242714</v>
      </c>
      <c r="H46" s="223" t="s">
        <v>147</v>
      </c>
      <c r="I46" s="223" t="s">
        <v>177</v>
      </c>
      <c r="J46" s="225" t="s">
        <v>150</v>
      </c>
    </row>
    <row r="47" spans="2:18" x14ac:dyDescent="0.25">
      <c r="B47" s="226"/>
      <c r="C47" s="227"/>
      <c r="D47" s="227"/>
      <c r="E47" s="227">
        <v>41710255</v>
      </c>
      <c r="F47" s="228">
        <v>2242714</v>
      </c>
      <c r="G47" s="228"/>
      <c r="H47" s="227" t="s">
        <v>147</v>
      </c>
      <c r="I47" s="227" t="s">
        <v>165</v>
      </c>
      <c r="J47" s="229" t="s">
        <v>152</v>
      </c>
    </row>
    <row r="48" spans="2:18" x14ac:dyDescent="0.25">
      <c r="B48" s="226"/>
      <c r="C48" s="227"/>
      <c r="D48" s="227">
        <v>19000283</v>
      </c>
      <c r="E48" s="227"/>
      <c r="F48" s="228">
        <v>470969.94</v>
      </c>
      <c r="G48" s="228"/>
      <c r="H48" s="227" t="s">
        <v>147</v>
      </c>
      <c r="I48" s="227" t="s">
        <v>178</v>
      </c>
      <c r="J48" s="229" t="s">
        <v>179</v>
      </c>
    </row>
    <row r="49" spans="2:10" x14ac:dyDescent="0.25">
      <c r="B49" s="230"/>
      <c r="C49" s="3"/>
      <c r="D49" s="3"/>
      <c r="E49" s="3">
        <v>41020601</v>
      </c>
      <c r="F49" s="231"/>
      <c r="G49" s="231">
        <v>470969.94</v>
      </c>
      <c r="H49" s="3" t="s">
        <v>147</v>
      </c>
      <c r="I49" s="3" t="s">
        <v>165</v>
      </c>
      <c r="J49" s="232" t="s">
        <v>152</v>
      </c>
    </row>
    <row r="50" spans="2:10" x14ac:dyDescent="0.25">
      <c r="F50" s="233"/>
      <c r="G50" s="233"/>
    </row>
    <row r="51" spans="2:10" x14ac:dyDescent="0.25">
      <c r="B51" s="222">
        <v>9</v>
      </c>
      <c r="C51" s="223" t="s">
        <v>180</v>
      </c>
      <c r="D51" s="223">
        <v>23200063</v>
      </c>
      <c r="E51" s="223"/>
      <c r="F51" s="224"/>
      <c r="G51" s="224">
        <v>1593000</v>
      </c>
      <c r="H51" s="223" t="s">
        <v>147</v>
      </c>
      <c r="I51" s="223" t="s">
        <v>164</v>
      </c>
      <c r="J51" s="225" t="s">
        <v>152</v>
      </c>
    </row>
    <row r="52" spans="2:10" x14ac:dyDescent="0.25">
      <c r="B52" s="230"/>
      <c r="C52" s="3"/>
      <c r="D52" s="3"/>
      <c r="E52" s="3">
        <v>4171</v>
      </c>
      <c r="F52" s="231">
        <v>1593000</v>
      </c>
      <c r="G52" s="231"/>
      <c r="H52" s="3" t="s">
        <v>147</v>
      </c>
      <c r="I52" s="3" t="s">
        <v>165</v>
      </c>
      <c r="J52" s="232" t="s">
        <v>152</v>
      </c>
    </row>
    <row r="53" spans="2:10" x14ac:dyDescent="0.25">
      <c r="F53" s="233"/>
      <c r="G53" s="233"/>
    </row>
    <row r="54" spans="2:10" x14ac:dyDescent="0.25">
      <c r="F54" s="233"/>
      <c r="G54" s="233"/>
    </row>
    <row r="55" spans="2:10" x14ac:dyDescent="0.25">
      <c r="F55" s="233"/>
      <c r="G55" s="233"/>
    </row>
    <row r="56" spans="2:10" x14ac:dyDescent="0.25">
      <c r="F56" s="233"/>
      <c r="G56" s="233"/>
    </row>
    <row r="57" spans="2:10" x14ac:dyDescent="0.25">
      <c r="F57" s="233"/>
      <c r="G57" s="233"/>
    </row>
    <row r="58" spans="2:10" x14ac:dyDescent="0.25">
      <c r="F58" s="233"/>
      <c r="G58" s="233"/>
    </row>
    <row r="59" spans="2:10" x14ac:dyDescent="0.25">
      <c r="F59" s="233"/>
      <c r="G59" s="233"/>
    </row>
    <row r="60" spans="2:10" x14ac:dyDescent="0.25">
      <c r="F60" s="233"/>
      <c r="G60" s="233"/>
    </row>
    <row r="61" spans="2:10" x14ac:dyDescent="0.25">
      <c r="F61" s="233"/>
      <c r="G61" s="233"/>
    </row>
    <row r="62" spans="2:10" x14ac:dyDescent="0.25">
      <c r="F62" s="233"/>
      <c r="G62" s="233"/>
    </row>
    <row r="63" spans="2:10" x14ac:dyDescent="0.25">
      <c r="F63" s="233"/>
      <c r="G63" s="233"/>
    </row>
    <row r="64" spans="2:10" x14ac:dyDescent="0.25">
      <c r="F64" s="233"/>
      <c r="G64" s="233"/>
    </row>
    <row r="65" spans="6:7" x14ac:dyDescent="0.25">
      <c r="F65" s="233"/>
      <c r="G65" s="233"/>
    </row>
    <row r="66" spans="6:7" x14ac:dyDescent="0.25">
      <c r="F66" s="233"/>
      <c r="G66" s="233"/>
    </row>
    <row r="67" spans="6:7" x14ac:dyDescent="0.25">
      <c r="F67" s="233"/>
      <c r="G67" s="233"/>
    </row>
    <row r="68" spans="6:7" x14ac:dyDescent="0.25">
      <c r="F68" s="233"/>
      <c r="G68" s="233"/>
    </row>
    <row r="69" spans="6:7" x14ac:dyDescent="0.25">
      <c r="F69" s="233"/>
      <c r="G69" s="233"/>
    </row>
    <row r="70" spans="6:7" x14ac:dyDescent="0.25">
      <c r="F70" s="233"/>
      <c r="G70" s="233"/>
    </row>
    <row r="71" spans="6:7" x14ac:dyDescent="0.25">
      <c r="F71" s="233"/>
      <c r="G71" s="233"/>
    </row>
    <row r="72" spans="6:7" x14ac:dyDescent="0.25">
      <c r="F72" s="233"/>
      <c r="G72" s="233"/>
    </row>
    <row r="73" spans="6:7" x14ac:dyDescent="0.25">
      <c r="F73" s="233"/>
      <c r="G73" s="233"/>
    </row>
    <row r="74" spans="6:7" x14ac:dyDescent="0.25">
      <c r="F74" s="233"/>
      <c r="G74" s="233"/>
    </row>
    <row r="75" spans="6:7" x14ac:dyDescent="0.25">
      <c r="F75" s="233"/>
      <c r="G75" s="233"/>
    </row>
    <row r="76" spans="6:7" x14ac:dyDescent="0.25">
      <c r="F76" s="233"/>
      <c r="G76" s="233"/>
    </row>
    <row r="77" spans="6:7" x14ac:dyDescent="0.25">
      <c r="F77" s="233"/>
      <c r="G77" s="233"/>
    </row>
    <row r="78" spans="6:7" x14ac:dyDescent="0.25">
      <c r="F78" s="233"/>
      <c r="G78" s="233"/>
    </row>
    <row r="79" spans="6:7" x14ac:dyDescent="0.25">
      <c r="F79" s="233"/>
      <c r="G79" s="233"/>
    </row>
    <row r="80" spans="6:7" x14ac:dyDescent="0.25">
      <c r="F80" s="233"/>
      <c r="G80" s="233"/>
    </row>
    <row r="81" spans="6:7" x14ac:dyDescent="0.25">
      <c r="F81" s="233"/>
      <c r="G81" s="233"/>
    </row>
    <row r="82" spans="6:7" x14ac:dyDescent="0.25">
      <c r="F82" s="233"/>
      <c r="G82" s="233"/>
    </row>
    <row r="83" spans="6:7" x14ac:dyDescent="0.25">
      <c r="F83" s="233"/>
      <c r="G83" s="233"/>
    </row>
    <row r="84" spans="6:7" x14ac:dyDescent="0.25">
      <c r="F84" s="233"/>
      <c r="G84" s="233"/>
    </row>
    <row r="85" spans="6:7" x14ac:dyDescent="0.25">
      <c r="F85" s="233"/>
      <c r="G85" s="233"/>
    </row>
    <row r="86" spans="6:7" x14ac:dyDescent="0.25">
      <c r="F86" s="233"/>
      <c r="G86" s="233"/>
    </row>
    <row r="87" spans="6:7" x14ac:dyDescent="0.25">
      <c r="F87" s="233"/>
      <c r="G87" s="233"/>
    </row>
    <row r="88" spans="6:7" x14ac:dyDescent="0.25">
      <c r="F88" s="233"/>
      <c r="G88" s="233"/>
    </row>
    <row r="89" spans="6:7" x14ac:dyDescent="0.25">
      <c r="F89" s="233"/>
      <c r="G89" s="233"/>
    </row>
    <row r="90" spans="6:7" x14ac:dyDescent="0.25">
      <c r="F90" s="233"/>
      <c r="G90" s="233"/>
    </row>
    <row r="91" spans="6:7" x14ac:dyDescent="0.25">
      <c r="F91" s="233"/>
      <c r="G91" s="233"/>
    </row>
    <row r="92" spans="6:7" x14ac:dyDescent="0.25">
      <c r="F92" s="233"/>
      <c r="G92" s="233"/>
    </row>
    <row r="93" spans="6:7" x14ac:dyDescent="0.25">
      <c r="F93" s="233"/>
      <c r="G93" s="233"/>
    </row>
    <row r="94" spans="6:7" x14ac:dyDescent="0.25">
      <c r="F94" s="233"/>
      <c r="G94" s="233"/>
    </row>
    <row r="95" spans="6:7" x14ac:dyDescent="0.25">
      <c r="F95" s="233"/>
      <c r="G95" s="233"/>
    </row>
    <row r="96" spans="6:7" x14ac:dyDescent="0.25">
      <c r="F96" s="233"/>
      <c r="G96" s="233"/>
    </row>
    <row r="97" spans="6:7" x14ac:dyDescent="0.25">
      <c r="F97" s="233"/>
      <c r="G97" s="233"/>
    </row>
    <row r="98" spans="6:7" x14ac:dyDescent="0.25">
      <c r="F98" s="233"/>
      <c r="G98" s="233"/>
    </row>
    <row r="99" spans="6:7" x14ac:dyDescent="0.25">
      <c r="F99" s="233"/>
      <c r="G99" s="233"/>
    </row>
    <row r="100" spans="6:7" x14ac:dyDescent="0.25">
      <c r="F100" s="233"/>
      <c r="G100" s="233"/>
    </row>
    <row r="101" spans="6:7" x14ac:dyDescent="0.25">
      <c r="F101" s="233"/>
      <c r="G101" s="233"/>
    </row>
    <row r="102" spans="6:7" x14ac:dyDescent="0.25">
      <c r="F102" s="233"/>
      <c r="G102" s="233"/>
    </row>
    <row r="103" spans="6:7" x14ac:dyDescent="0.25">
      <c r="F103" s="233"/>
      <c r="G103" s="233"/>
    </row>
    <row r="104" spans="6:7" x14ac:dyDescent="0.25">
      <c r="F104" s="233"/>
      <c r="G104" s="233"/>
    </row>
    <row r="105" spans="6:7" x14ac:dyDescent="0.25">
      <c r="F105" s="233"/>
      <c r="G105" s="233"/>
    </row>
    <row r="106" spans="6:7" x14ac:dyDescent="0.25">
      <c r="F106" s="233"/>
      <c r="G106" s="233"/>
    </row>
    <row r="107" spans="6:7" x14ac:dyDescent="0.25">
      <c r="F107" s="233"/>
      <c r="G107" s="233"/>
    </row>
    <row r="108" spans="6:7" x14ac:dyDescent="0.25">
      <c r="F108" s="233"/>
      <c r="G108" s="233"/>
    </row>
    <row r="109" spans="6:7" x14ac:dyDescent="0.25">
      <c r="F109" s="233"/>
      <c r="G109" s="233"/>
    </row>
    <row r="110" spans="6:7" x14ac:dyDescent="0.25">
      <c r="F110" s="233"/>
      <c r="G110" s="233"/>
    </row>
    <row r="111" spans="6:7" x14ac:dyDescent="0.25">
      <c r="F111" s="233"/>
      <c r="G111" s="233"/>
    </row>
    <row r="112" spans="6:7" x14ac:dyDescent="0.25">
      <c r="F112" s="233"/>
      <c r="G112" s="233"/>
    </row>
    <row r="113" spans="6:7" x14ac:dyDescent="0.25">
      <c r="F113" s="233"/>
      <c r="G113" s="233"/>
    </row>
    <row r="114" spans="6:7" x14ac:dyDescent="0.25">
      <c r="F114" s="233"/>
      <c r="G114" s="233"/>
    </row>
    <row r="115" spans="6:7" x14ac:dyDescent="0.25">
      <c r="F115" s="233"/>
      <c r="G115" s="233"/>
    </row>
    <row r="116" spans="6:7" x14ac:dyDescent="0.25">
      <c r="F116" s="233"/>
      <c r="G116" s="233"/>
    </row>
    <row r="117" spans="6:7" x14ac:dyDescent="0.25">
      <c r="F117" s="233"/>
      <c r="G117" s="233"/>
    </row>
    <row r="118" spans="6:7" x14ac:dyDescent="0.25">
      <c r="F118" s="233"/>
      <c r="G118" s="233"/>
    </row>
    <row r="119" spans="6:7" x14ac:dyDescent="0.25">
      <c r="F119" s="233"/>
      <c r="G119" s="233"/>
    </row>
    <row r="120" spans="6:7" x14ac:dyDescent="0.25">
      <c r="F120" s="233"/>
      <c r="G120" s="233"/>
    </row>
    <row r="121" spans="6:7" x14ac:dyDescent="0.25">
      <c r="F121" s="233"/>
      <c r="G121" s="233"/>
    </row>
    <row r="122" spans="6:7" x14ac:dyDescent="0.25">
      <c r="F122" s="233"/>
      <c r="G122" s="233"/>
    </row>
    <row r="123" spans="6:7" x14ac:dyDescent="0.25">
      <c r="F123" s="233"/>
      <c r="G123" s="233"/>
    </row>
    <row r="124" spans="6:7" x14ac:dyDescent="0.25">
      <c r="F124" s="233"/>
      <c r="G124" s="233"/>
    </row>
    <row r="125" spans="6:7" x14ac:dyDescent="0.25">
      <c r="F125" s="233"/>
      <c r="G125" s="233"/>
    </row>
    <row r="126" spans="6:7" x14ac:dyDescent="0.25">
      <c r="F126" s="233"/>
      <c r="G126" s="233"/>
    </row>
    <row r="127" spans="6:7" x14ac:dyDescent="0.25">
      <c r="F127" s="233"/>
      <c r="G127" s="233"/>
    </row>
    <row r="128" spans="6:7" x14ac:dyDescent="0.25">
      <c r="F128" s="233"/>
      <c r="G128" s="233"/>
    </row>
    <row r="129" spans="6:7" x14ac:dyDescent="0.25">
      <c r="F129" s="233"/>
      <c r="G129" s="233"/>
    </row>
    <row r="130" spans="6:7" x14ac:dyDescent="0.25">
      <c r="F130" s="233"/>
      <c r="G130" s="233"/>
    </row>
    <row r="131" spans="6:7" x14ac:dyDescent="0.25">
      <c r="F131" s="233"/>
      <c r="G131" s="233"/>
    </row>
    <row r="132" spans="6:7" x14ac:dyDescent="0.25">
      <c r="F132" s="233"/>
      <c r="G132" s="233"/>
    </row>
    <row r="133" spans="6:7" x14ac:dyDescent="0.25">
      <c r="F133" s="233"/>
      <c r="G133" s="233"/>
    </row>
    <row r="134" spans="6:7" x14ac:dyDescent="0.25">
      <c r="F134" s="233"/>
      <c r="G134" s="233"/>
    </row>
    <row r="135" spans="6:7" x14ac:dyDescent="0.25">
      <c r="F135" s="233"/>
      <c r="G135" s="233"/>
    </row>
    <row r="136" spans="6:7" x14ac:dyDescent="0.25">
      <c r="F136" s="233"/>
      <c r="G136" s="233"/>
    </row>
    <row r="137" spans="6:7" x14ac:dyDescent="0.25">
      <c r="F137" s="233"/>
      <c r="G137" s="233"/>
    </row>
    <row r="138" spans="6:7" x14ac:dyDescent="0.25">
      <c r="F138" s="233"/>
      <c r="G138" s="233"/>
    </row>
    <row r="139" spans="6:7" x14ac:dyDescent="0.25">
      <c r="F139" s="233"/>
      <c r="G139" s="233"/>
    </row>
    <row r="140" spans="6:7" x14ac:dyDescent="0.25">
      <c r="F140" s="233"/>
      <c r="G140" s="233"/>
    </row>
    <row r="141" spans="6:7" x14ac:dyDescent="0.25">
      <c r="F141" s="233"/>
      <c r="G141" s="233"/>
    </row>
    <row r="142" spans="6:7" x14ac:dyDescent="0.25">
      <c r="F142" s="233"/>
      <c r="G142" s="233"/>
    </row>
    <row r="143" spans="6:7" x14ac:dyDescent="0.25">
      <c r="F143" s="233"/>
      <c r="G143" s="233"/>
    </row>
    <row r="144" spans="6:7" x14ac:dyDescent="0.25">
      <c r="F144" s="233"/>
      <c r="G144" s="233"/>
    </row>
    <row r="145" spans="6:7" x14ac:dyDescent="0.25">
      <c r="F145" s="233"/>
      <c r="G145" s="233"/>
    </row>
    <row r="146" spans="6:7" x14ac:dyDescent="0.25">
      <c r="F146" s="233"/>
      <c r="G146" s="23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Z31" sqref="Z31"/>
    </sheetView>
  </sheetViews>
  <sheetFormatPr defaultColWidth="9.140625" defaultRowHeight="15" x14ac:dyDescent="0.25"/>
  <cols>
    <col min="1" max="1" width="17.28515625" style="115" customWidth="1"/>
    <col min="2" max="2" width="3.85546875" style="115" customWidth="1"/>
    <col min="3" max="3" width="12.5703125" style="115" bestFit="1" customWidth="1"/>
    <col min="4" max="4" width="1.7109375" style="115" customWidth="1"/>
    <col min="5" max="5" width="12.42578125" style="115" bestFit="1" customWidth="1"/>
    <col min="6" max="6" width="1.7109375" style="115" customWidth="1"/>
    <col min="7" max="7" width="12.42578125" style="115" bestFit="1" customWidth="1"/>
    <col min="8" max="8" width="1.7109375" style="115" customWidth="1"/>
    <col min="9" max="9" width="12.140625" style="115" bestFit="1" customWidth="1"/>
    <col min="10" max="13" width="9.140625" style="115"/>
    <col min="14" max="14" width="11.42578125" style="115" bestFit="1" customWidth="1"/>
    <col min="15" max="252" width="9.140625" style="115"/>
    <col min="253" max="253" width="16.28515625" style="115" customWidth="1"/>
    <col min="254" max="254" width="1.7109375" style="115" customWidth="1"/>
    <col min="255" max="255" width="10" style="115" bestFit="1" customWidth="1"/>
    <col min="256" max="256" width="1.7109375" style="115" customWidth="1"/>
    <col min="257" max="257" width="9.28515625" style="115" customWidth="1"/>
    <col min="258" max="258" width="1.7109375" style="115" customWidth="1"/>
    <col min="259" max="259" width="10.7109375" style="115" customWidth="1"/>
    <col min="260" max="260" width="1.7109375" style="115" customWidth="1"/>
    <col min="261" max="261" width="11.28515625" style="115" bestFit="1" customWidth="1"/>
    <col min="262" max="262" width="1.7109375" style="115" customWidth="1"/>
    <col min="263" max="263" width="11.28515625" style="115" bestFit="1" customWidth="1"/>
    <col min="264" max="264" width="1.7109375" style="115" customWidth="1"/>
    <col min="265" max="265" width="11.28515625" style="115" bestFit="1" customWidth="1"/>
    <col min="266" max="508" width="9.140625" style="115"/>
    <col min="509" max="509" width="16.28515625" style="115" customWidth="1"/>
    <col min="510" max="510" width="1.7109375" style="115" customWidth="1"/>
    <col min="511" max="511" width="10" style="115" bestFit="1" customWidth="1"/>
    <col min="512" max="512" width="1.7109375" style="115" customWidth="1"/>
    <col min="513" max="513" width="9.28515625" style="115" customWidth="1"/>
    <col min="514" max="514" width="1.7109375" style="115" customWidth="1"/>
    <col min="515" max="515" width="10.7109375" style="115" customWidth="1"/>
    <col min="516" max="516" width="1.7109375" style="115" customWidth="1"/>
    <col min="517" max="517" width="11.28515625" style="115" bestFit="1" customWidth="1"/>
    <col min="518" max="518" width="1.7109375" style="115" customWidth="1"/>
    <col min="519" max="519" width="11.28515625" style="115" bestFit="1" customWidth="1"/>
    <col min="520" max="520" width="1.7109375" style="115" customWidth="1"/>
    <col min="521" max="521" width="11.28515625" style="115" bestFit="1" customWidth="1"/>
    <col min="522" max="764" width="9.140625" style="115"/>
    <col min="765" max="765" width="16.28515625" style="115" customWidth="1"/>
    <col min="766" max="766" width="1.7109375" style="115" customWidth="1"/>
    <col min="767" max="767" width="10" style="115" bestFit="1" customWidth="1"/>
    <col min="768" max="768" width="1.7109375" style="115" customWidth="1"/>
    <col min="769" max="769" width="9.28515625" style="115" customWidth="1"/>
    <col min="770" max="770" width="1.7109375" style="115" customWidth="1"/>
    <col min="771" max="771" width="10.7109375" style="115" customWidth="1"/>
    <col min="772" max="772" width="1.7109375" style="115" customWidth="1"/>
    <col min="773" max="773" width="11.28515625" style="115" bestFit="1" customWidth="1"/>
    <col min="774" max="774" width="1.7109375" style="115" customWidth="1"/>
    <col min="775" max="775" width="11.28515625" style="115" bestFit="1" customWidth="1"/>
    <col min="776" max="776" width="1.7109375" style="115" customWidth="1"/>
    <col min="777" max="777" width="11.28515625" style="115" bestFit="1" customWidth="1"/>
    <col min="778" max="1020" width="9.140625" style="115"/>
    <col min="1021" max="1021" width="16.28515625" style="115" customWidth="1"/>
    <col min="1022" max="1022" width="1.7109375" style="115" customWidth="1"/>
    <col min="1023" max="1023" width="10" style="115" bestFit="1" customWidth="1"/>
    <col min="1024" max="1024" width="1.7109375" style="115" customWidth="1"/>
    <col min="1025" max="1025" width="9.28515625" style="115" customWidth="1"/>
    <col min="1026" max="1026" width="1.7109375" style="115" customWidth="1"/>
    <col min="1027" max="1027" width="10.7109375" style="115" customWidth="1"/>
    <col min="1028" max="1028" width="1.7109375" style="115" customWidth="1"/>
    <col min="1029" max="1029" width="11.28515625" style="115" bestFit="1" customWidth="1"/>
    <col min="1030" max="1030" width="1.7109375" style="115" customWidth="1"/>
    <col min="1031" max="1031" width="11.28515625" style="115" bestFit="1" customWidth="1"/>
    <col min="1032" max="1032" width="1.7109375" style="115" customWidth="1"/>
    <col min="1033" max="1033" width="11.28515625" style="115" bestFit="1" customWidth="1"/>
    <col min="1034" max="1276" width="9.140625" style="115"/>
    <col min="1277" max="1277" width="16.28515625" style="115" customWidth="1"/>
    <col min="1278" max="1278" width="1.7109375" style="115" customWidth="1"/>
    <col min="1279" max="1279" width="10" style="115" bestFit="1" customWidth="1"/>
    <col min="1280" max="1280" width="1.7109375" style="115" customWidth="1"/>
    <col min="1281" max="1281" width="9.28515625" style="115" customWidth="1"/>
    <col min="1282" max="1282" width="1.7109375" style="115" customWidth="1"/>
    <col min="1283" max="1283" width="10.7109375" style="115" customWidth="1"/>
    <col min="1284" max="1284" width="1.7109375" style="115" customWidth="1"/>
    <col min="1285" max="1285" width="11.28515625" style="115" bestFit="1" customWidth="1"/>
    <col min="1286" max="1286" width="1.7109375" style="115" customWidth="1"/>
    <col min="1287" max="1287" width="11.28515625" style="115" bestFit="1" customWidth="1"/>
    <col min="1288" max="1288" width="1.7109375" style="115" customWidth="1"/>
    <col min="1289" max="1289" width="11.28515625" style="115" bestFit="1" customWidth="1"/>
    <col min="1290" max="1532" width="9.140625" style="115"/>
    <col min="1533" max="1533" width="16.28515625" style="115" customWidth="1"/>
    <col min="1534" max="1534" width="1.7109375" style="115" customWidth="1"/>
    <col min="1535" max="1535" width="10" style="115" bestFit="1" customWidth="1"/>
    <col min="1536" max="1536" width="1.7109375" style="115" customWidth="1"/>
    <col min="1537" max="1537" width="9.28515625" style="115" customWidth="1"/>
    <col min="1538" max="1538" width="1.7109375" style="115" customWidth="1"/>
    <col min="1539" max="1539" width="10.7109375" style="115" customWidth="1"/>
    <col min="1540" max="1540" width="1.7109375" style="115" customWidth="1"/>
    <col min="1541" max="1541" width="11.28515625" style="115" bestFit="1" customWidth="1"/>
    <col min="1542" max="1542" width="1.7109375" style="115" customWidth="1"/>
    <col min="1543" max="1543" width="11.28515625" style="115" bestFit="1" customWidth="1"/>
    <col min="1544" max="1544" width="1.7109375" style="115" customWidth="1"/>
    <col min="1545" max="1545" width="11.28515625" style="115" bestFit="1" customWidth="1"/>
    <col min="1546" max="1788" width="9.140625" style="115"/>
    <col min="1789" max="1789" width="16.28515625" style="115" customWidth="1"/>
    <col min="1790" max="1790" width="1.7109375" style="115" customWidth="1"/>
    <col min="1791" max="1791" width="10" style="115" bestFit="1" customWidth="1"/>
    <col min="1792" max="1792" width="1.7109375" style="115" customWidth="1"/>
    <col min="1793" max="1793" width="9.28515625" style="115" customWidth="1"/>
    <col min="1794" max="1794" width="1.7109375" style="115" customWidth="1"/>
    <col min="1795" max="1795" width="10.7109375" style="115" customWidth="1"/>
    <col min="1796" max="1796" width="1.7109375" style="115" customWidth="1"/>
    <col min="1797" max="1797" width="11.28515625" style="115" bestFit="1" customWidth="1"/>
    <col min="1798" max="1798" width="1.7109375" style="115" customWidth="1"/>
    <col min="1799" max="1799" width="11.28515625" style="115" bestFit="1" customWidth="1"/>
    <col min="1800" max="1800" width="1.7109375" style="115" customWidth="1"/>
    <col min="1801" max="1801" width="11.28515625" style="115" bestFit="1" customWidth="1"/>
    <col min="1802" max="2044" width="9.140625" style="115"/>
    <col min="2045" max="2045" width="16.28515625" style="115" customWidth="1"/>
    <col min="2046" max="2046" width="1.7109375" style="115" customWidth="1"/>
    <col min="2047" max="2047" width="10" style="115" bestFit="1" customWidth="1"/>
    <col min="2048" max="2048" width="1.7109375" style="115" customWidth="1"/>
    <col min="2049" max="2049" width="9.28515625" style="115" customWidth="1"/>
    <col min="2050" max="2050" width="1.7109375" style="115" customWidth="1"/>
    <col min="2051" max="2051" width="10.7109375" style="115" customWidth="1"/>
    <col min="2052" max="2052" width="1.7109375" style="115" customWidth="1"/>
    <col min="2053" max="2053" width="11.28515625" style="115" bestFit="1" customWidth="1"/>
    <col min="2054" max="2054" width="1.7109375" style="115" customWidth="1"/>
    <col min="2055" max="2055" width="11.28515625" style="115" bestFit="1" customWidth="1"/>
    <col min="2056" max="2056" width="1.7109375" style="115" customWidth="1"/>
    <col min="2057" max="2057" width="11.28515625" style="115" bestFit="1" customWidth="1"/>
    <col min="2058" max="2300" width="9.140625" style="115"/>
    <col min="2301" max="2301" width="16.28515625" style="115" customWidth="1"/>
    <col min="2302" max="2302" width="1.7109375" style="115" customWidth="1"/>
    <col min="2303" max="2303" width="10" style="115" bestFit="1" customWidth="1"/>
    <col min="2304" max="2304" width="1.7109375" style="115" customWidth="1"/>
    <col min="2305" max="2305" width="9.28515625" style="115" customWidth="1"/>
    <col min="2306" max="2306" width="1.7109375" style="115" customWidth="1"/>
    <col min="2307" max="2307" width="10.7109375" style="115" customWidth="1"/>
    <col min="2308" max="2308" width="1.7109375" style="115" customWidth="1"/>
    <col min="2309" max="2309" width="11.28515625" style="115" bestFit="1" customWidth="1"/>
    <col min="2310" max="2310" width="1.7109375" style="115" customWidth="1"/>
    <col min="2311" max="2311" width="11.28515625" style="115" bestFit="1" customWidth="1"/>
    <col min="2312" max="2312" width="1.7109375" style="115" customWidth="1"/>
    <col min="2313" max="2313" width="11.28515625" style="115" bestFit="1" customWidth="1"/>
    <col min="2314" max="2556" width="9.140625" style="115"/>
    <col min="2557" max="2557" width="16.28515625" style="115" customWidth="1"/>
    <col min="2558" max="2558" width="1.7109375" style="115" customWidth="1"/>
    <col min="2559" max="2559" width="10" style="115" bestFit="1" customWidth="1"/>
    <col min="2560" max="2560" width="1.7109375" style="115" customWidth="1"/>
    <col min="2561" max="2561" width="9.28515625" style="115" customWidth="1"/>
    <col min="2562" max="2562" width="1.7109375" style="115" customWidth="1"/>
    <col min="2563" max="2563" width="10.7109375" style="115" customWidth="1"/>
    <col min="2564" max="2564" width="1.7109375" style="115" customWidth="1"/>
    <col min="2565" max="2565" width="11.28515625" style="115" bestFit="1" customWidth="1"/>
    <col min="2566" max="2566" width="1.7109375" style="115" customWidth="1"/>
    <col min="2567" max="2567" width="11.28515625" style="115" bestFit="1" customWidth="1"/>
    <col min="2568" max="2568" width="1.7109375" style="115" customWidth="1"/>
    <col min="2569" max="2569" width="11.28515625" style="115" bestFit="1" customWidth="1"/>
    <col min="2570" max="2812" width="9.140625" style="115"/>
    <col min="2813" max="2813" width="16.28515625" style="115" customWidth="1"/>
    <col min="2814" max="2814" width="1.7109375" style="115" customWidth="1"/>
    <col min="2815" max="2815" width="10" style="115" bestFit="1" customWidth="1"/>
    <col min="2816" max="2816" width="1.7109375" style="115" customWidth="1"/>
    <col min="2817" max="2817" width="9.28515625" style="115" customWidth="1"/>
    <col min="2818" max="2818" width="1.7109375" style="115" customWidth="1"/>
    <col min="2819" max="2819" width="10.7109375" style="115" customWidth="1"/>
    <col min="2820" max="2820" width="1.7109375" style="115" customWidth="1"/>
    <col min="2821" max="2821" width="11.28515625" style="115" bestFit="1" customWidth="1"/>
    <col min="2822" max="2822" width="1.7109375" style="115" customWidth="1"/>
    <col min="2823" max="2823" width="11.28515625" style="115" bestFit="1" customWidth="1"/>
    <col min="2824" max="2824" width="1.7109375" style="115" customWidth="1"/>
    <col min="2825" max="2825" width="11.28515625" style="115" bestFit="1" customWidth="1"/>
    <col min="2826" max="3068" width="9.140625" style="115"/>
    <col min="3069" max="3069" width="16.28515625" style="115" customWidth="1"/>
    <col min="3070" max="3070" width="1.7109375" style="115" customWidth="1"/>
    <col min="3071" max="3071" width="10" style="115" bestFit="1" customWidth="1"/>
    <col min="3072" max="3072" width="1.7109375" style="115" customWidth="1"/>
    <col min="3073" max="3073" width="9.28515625" style="115" customWidth="1"/>
    <col min="3074" max="3074" width="1.7109375" style="115" customWidth="1"/>
    <col min="3075" max="3075" width="10.7109375" style="115" customWidth="1"/>
    <col min="3076" max="3076" width="1.7109375" style="115" customWidth="1"/>
    <col min="3077" max="3077" width="11.28515625" style="115" bestFit="1" customWidth="1"/>
    <col min="3078" max="3078" width="1.7109375" style="115" customWidth="1"/>
    <col min="3079" max="3079" width="11.28515625" style="115" bestFit="1" customWidth="1"/>
    <col min="3080" max="3080" width="1.7109375" style="115" customWidth="1"/>
    <col min="3081" max="3081" width="11.28515625" style="115" bestFit="1" customWidth="1"/>
    <col min="3082" max="3324" width="9.140625" style="115"/>
    <col min="3325" max="3325" width="16.28515625" style="115" customWidth="1"/>
    <col min="3326" max="3326" width="1.7109375" style="115" customWidth="1"/>
    <col min="3327" max="3327" width="10" style="115" bestFit="1" customWidth="1"/>
    <col min="3328" max="3328" width="1.7109375" style="115" customWidth="1"/>
    <col min="3329" max="3329" width="9.28515625" style="115" customWidth="1"/>
    <col min="3330" max="3330" width="1.7109375" style="115" customWidth="1"/>
    <col min="3331" max="3331" width="10.7109375" style="115" customWidth="1"/>
    <col min="3332" max="3332" width="1.7109375" style="115" customWidth="1"/>
    <col min="3333" max="3333" width="11.28515625" style="115" bestFit="1" customWidth="1"/>
    <col min="3334" max="3334" width="1.7109375" style="115" customWidth="1"/>
    <col min="3335" max="3335" width="11.28515625" style="115" bestFit="1" customWidth="1"/>
    <col min="3336" max="3336" width="1.7109375" style="115" customWidth="1"/>
    <col min="3337" max="3337" width="11.28515625" style="115" bestFit="1" customWidth="1"/>
    <col min="3338" max="3580" width="9.140625" style="115"/>
    <col min="3581" max="3581" width="16.28515625" style="115" customWidth="1"/>
    <col min="3582" max="3582" width="1.7109375" style="115" customWidth="1"/>
    <col min="3583" max="3583" width="10" style="115" bestFit="1" customWidth="1"/>
    <col min="3584" max="3584" width="1.7109375" style="115" customWidth="1"/>
    <col min="3585" max="3585" width="9.28515625" style="115" customWidth="1"/>
    <col min="3586" max="3586" width="1.7109375" style="115" customWidth="1"/>
    <col min="3587" max="3587" width="10.7109375" style="115" customWidth="1"/>
    <col min="3588" max="3588" width="1.7109375" style="115" customWidth="1"/>
    <col min="3589" max="3589" width="11.28515625" style="115" bestFit="1" customWidth="1"/>
    <col min="3590" max="3590" width="1.7109375" style="115" customWidth="1"/>
    <col min="3591" max="3591" width="11.28515625" style="115" bestFit="1" customWidth="1"/>
    <col min="3592" max="3592" width="1.7109375" style="115" customWidth="1"/>
    <col min="3593" max="3593" width="11.28515625" style="115" bestFit="1" customWidth="1"/>
    <col min="3594" max="3836" width="9.140625" style="115"/>
    <col min="3837" max="3837" width="16.28515625" style="115" customWidth="1"/>
    <col min="3838" max="3838" width="1.7109375" style="115" customWidth="1"/>
    <col min="3839" max="3839" width="10" style="115" bestFit="1" customWidth="1"/>
    <col min="3840" max="3840" width="1.7109375" style="115" customWidth="1"/>
    <col min="3841" max="3841" width="9.28515625" style="115" customWidth="1"/>
    <col min="3842" max="3842" width="1.7109375" style="115" customWidth="1"/>
    <col min="3843" max="3843" width="10.7109375" style="115" customWidth="1"/>
    <col min="3844" max="3844" width="1.7109375" style="115" customWidth="1"/>
    <col min="3845" max="3845" width="11.28515625" style="115" bestFit="1" customWidth="1"/>
    <col min="3846" max="3846" width="1.7109375" style="115" customWidth="1"/>
    <col min="3847" max="3847" width="11.28515625" style="115" bestFit="1" customWidth="1"/>
    <col min="3848" max="3848" width="1.7109375" style="115" customWidth="1"/>
    <col min="3849" max="3849" width="11.28515625" style="115" bestFit="1" customWidth="1"/>
    <col min="3850" max="4092" width="9.140625" style="115"/>
    <col min="4093" max="4093" width="16.28515625" style="115" customWidth="1"/>
    <col min="4094" max="4094" width="1.7109375" style="115" customWidth="1"/>
    <col min="4095" max="4095" width="10" style="115" bestFit="1" customWidth="1"/>
    <col min="4096" max="4096" width="1.7109375" style="115" customWidth="1"/>
    <col min="4097" max="4097" width="9.28515625" style="115" customWidth="1"/>
    <col min="4098" max="4098" width="1.7109375" style="115" customWidth="1"/>
    <col min="4099" max="4099" width="10.7109375" style="115" customWidth="1"/>
    <col min="4100" max="4100" width="1.7109375" style="115" customWidth="1"/>
    <col min="4101" max="4101" width="11.28515625" style="115" bestFit="1" customWidth="1"/>
    <col min="4102" max="4102" width="1.7109375" style="115" customWidth="1"/>
    <col min="4103" max="4103" width="11.28515625" style="115" bestFit="1" customWidth="1"/>
    <col min="4104" max="4104" width="1.7109375" style="115" customWidth="1"/>
    <col min="4105" max="4105" width="11.28515625" style="115" bestFit="1" customWidth="1"/>
    <col min="4106" max="4348" width="9.140625" style="115"/>
    <col min="4349" max="4349" width="16.28515625" style="115" customWidth="1"/>
    <col min="4350" max="4350" width="1.7109375" style="115" customWidth="1"/>
    <col min="4351" max="4351" width="10" style="115" bestFit="1" customWidth="1"/>
    <col min="4352" max="4352" width="1.7109375" style="115" customWidth="1"/>
    <col min="4353" max="4353" width="9.28515625" style="115" customWidth="1"/>
    <col min="4354" max="4354" width="1.7109375" style="115" customWidth="1"/>
    <col min="4355" max="4355" width="10.7109375" style="115" customWidth="1"/>
    <col min="4356" max="4356" width="1.7109375" style="115" customWidth="1"/>
    <col min="4357" max="4357" width="11.28515625" style="115" bestFit="1" customWidth="1"/>
    <col min="4358" max="4358" width="1.7109375" style="115" customWidth="1"/>
    <col min="4359" max="4359" width="11.28515625" style="115" bestFit="1" customWidth="1"/>
    <col min="4360" max="4360" width="1.7109375" style="115" customWidth="1"/>
    <col min="4361" max="4361" width="11.28515625" style="115" bestFit="1" customWidth="1"/>
    <col min="4362" max="4604" width="9.140625" style="115"/>
    <col min="4605" max="4605" width="16.28515625" style="115" customWidth="1"/>
    <col min="4606" max="4606" width="1.7109375" style="115" customWidth="1"/>
    <col min="4607" max="4607" width="10" style="115" bestFit="1" customWidth="1"/>
    <col min="4608" max="4608" width="1.7109375" style="115" customWidth="1"/>
    <col min="4609" max="4609" width="9.28515625" style="115" customWidth="1"/>
    <col min="4610" max="4610" width="1.7109375" style="115" customWidth="1"/>
    <col min="4611" max="4611" width="10.7109375" style="115" customWidth="1"/>
    <col min="4612" max="4612" width="1.7109375" style="115" customWidth="1"/>
    <col min="4613" max="4613" width="11.28515625" style="115" bestFit="1" customWidth="1"/>
    <col min="4614" max="4614" width="1.7109375" style="115" customWidth="1"/>
    <col min="4615" max="4615" width="11.28515625" style="115" bestFit="1" customWidth="1"/>
    <col min="4616" max="4616" width="1.7109375" style="115" customWidth="1"/>
    <col min="4617" max="4617" width="11.28515625" style="115" bestFit="1" customWidth="1"/>
    <col min="4618" max="4860" width="9.140625" style="115"/>
    <col min="4861" max="4861" width="16.28515625" style="115" customWidth="1"/>
    <col min="4862" max="4862" width="1.7109375" style="115" customWidth="1"/>
    <col min="4863" max="4863" width="10" style="115" bestFit="1" customWidth="1"/>
    <col min="4864" max="4864" width="1.7109375" style="115" customWidth="1"/>
    <col min="4865" max="4865" width="9.28515625" style="115" customWidth="1"/>
    <col min="4866" max="4866" width="1.7109375" style="115" customWidth="1"/>
    <col min="4867" max="4867" width="10.7109375" style="115" customWidth="1"/>
    <col min="4868" max="4868" width="1.7109375" style="115" customWidth="1"/>
    <col min="4869" max="4869" width="11.28515625" style="115" bestFit="1" customWidth="1"/>
    <col min="4870" max="4870" width="1.7109375" style="115" customWidth="1"/>
    <col min="4871" max="4871" width="11.28515625" style="115" bestFit="1" customWidth="1"/>
    <col min="4872" max="4872" width="1.7109375" style="115" customWidth="1"/>
    <col min="4873" max="4873" width="11.28515625" style="115" bestFit="1" customWidth="1"/>
    <col min="4874" max="5116" width="9.140625" style="115"/>
    <col min="5117" max="5117" width="16.28515625" style="115" customWidth="1"/>
    <col min="5118" max="5118" width="1.7109375" style="115" customWidth="1"/>
    <col min="5119" max="5119" width="10" style="115" bestFit="1" customWidth="1"/>
    <col min="5120" max="5120" width="1.7109375" style="115" customWidth="1"/>
    <col min="5121" max="5121" width="9.28515625" style="115" customWidth="1"/>
    <col min="5122" max="5122" width="1.7109375" style="115" customWidth="1"/>
    <col min="5123" max="5123" width="10.7109375" style="115" customWidth="1"/>
    <col min="5124" max="5124" width="1.7109375" style="115" customWidth="1"/>
    <col min="5125" max="5125" width="11.28515625" style="115" bestFit="1" customWidth="1"/>
    <col min="5126" max="5126" width="1.7109375" style="115" customWidth="1"/>
    <col min="5127" max="5127" width="11.28515625" style="115" bestFit="1" customWidth="1"/>
    <col min="5128" max="5128" width="1.7109375" style="115" customWidth="1"/>
    <col min="5129" max="5129" width="11.28515625" style="115" bestFit="1" customWidth="1"/>
    <col min="5130" max="5372" width="9.140625" style="115"/>
    <col min="5373" max="5373" width="16.28515625" style="115" customWidth="1"/>
    <col min="5374" max="5374" width="1.7109375" style="115" customWidth="1"/>
    <col min="5375" max="5375" width="10" style="115" bestFit="1" customWidth="1"/>
    <col min="5376" max="5376" width="1.7109375" style="115" customWidth="1"/>
    <col min="5377" max="5377" width="9.28515625" style="115" customWidth="1"/>
    <col min="5378" max="5378" width="1.7109375" style="115" customWidth="1"/>
    <col min="5379" max="5379" width="10.7109375" style="115" customWidth="1"/>
    <col min="5380" max="5380" width="1.7109375" style="115" customWidth="1"/>
    <col min="5381" max="5381" width="11.28515625" style="115" bestFit="1" customWidth="1"/>
    <col min="5382" max="5382" width="1.7109375" style="115" customWidth="1"/>
    <col min="5383" max="5383" width="11.28515625" style="115" bestFit="1" customWidth="1"/>
    <col min="5384" max="5384" width="1.7109375" style="115" customWidth="1"/>
    <col min="5385" max="5385" width="11.28515625" style="115" bestFit="1" customWidth="1"/>
    <col min="5386" max="5628" width="9.140625" style="115"/>
    <col min="5629" max="5629" width="16.28515625" style="115" customWidth="1"/>
    <col min="5630" max="5630" width="1.7109375" style="115" customWidth="1"/>
    <col min="5631" max="5631" width="10" style="115" bestFit="1" customWidth="1"/>
    <col min="5632" max="5632" width="1.7109375" style="115" customWidth="1"/>
    <col min="5633" max="5633" width="9.28515625" style="115" customWidth="1"/>
    <col min="5634" max="5634" width="1.7109375" style="115" customWidth="1"/>
    <col min="5635" max="5635" width="10.7109375" style="115" customWidth="1"/>
    <col min="5636" max="5636" width="1.7109375" style="115" customWidth="1"/>
    <col min="5637" max="5637" width="11.28515625" style="115" bestFit="1" customWidth="1"/>
    <col min="5638" max="5638" width="1.7109375" style="115" customWidth="1"/>
    <col min="5639" max="5639" width="11.28515625" style="115" bestFit="1" customWidth="1"/>
    <col min="5640" max="5640" width="1.7109375" style="115" customWidth="1"/>
    <col min="5641" max="5641" width="11.28515625" style="115" bestFit="1" customWidth="1"/>
    <col min="5642" max="5884" width="9.140625" style="115"/>
    <col min="5885" max="5885" width="16.28515625" style="115" customWidth="1"/>
    <col min="5886" max="5886" width="1.7109375" style="115" customWidth="1"/>
    <col min="5887" max="5887" width="10" style="115" bestFit="1" customWidth="1"/>
    <col min="5888" max="5888" width="1.7109375" style="115" customWidth="1"/>
    <col min="5889" max="5889" width="9.28515625" style="115" customWidth="1"/>
    <col min="5890" max="5890" width="1.7109375" style="115" customWidth="1"/>
    <col min="5891" max="5891" width="10.7109375" style="115" customWidth="1"/>
    <col min="5892" max="5892" width="1.7109375" style="115" customWidth="1"/>
    <col min="5893" max="5893" width="11.28515625" style="115" bestFit="1" customWidth="1"/>
    <col min="5894" max="5894" width="1.7109375" style="115" customWidth="1"/>
    <col min="5895" max="5895" width="11.28515625" style="115" bestFit="1" customWidth="1"/>
    <col min="5896" max="5896" width="1.7109375" style="115" customWidth="1"/>
    <col min="5897" max="5897" width="11.28515625" style="115" bestFit="1" customWidth="1"/>
    <col min="5898" max="6140" width="9.140625" style="115"/>
    <col min="6141" max="6141" width="16.28515625" style="115" customWidth="1"/>
    <col min="6142" max="6142" width="1.7109375" style="115" customWidth="1"/>
    <col min="6143" max="6143" width="10" style="115" bestFit="1" customWidth="1"/>
    <col min="6144" max="6144" width="1.7109375" style="115" customWidth="1"/>
    <col min="6145" max="6145" width="9.28515625" style="115" customWidth="1"/>
    <col min="6146" max="6146" width="1.7109375" style="115" customWidth="1"/>
    <col min="6147" max="6147" width="10.7109375" style="115" customWidth="1"/>
    <col min="6148" max="6148" width="1.7109375" style="115" customWidth="1"/>
    <col min="6149" max="6149" width="11.28515625" style="115" bestFit="1" customWidth="1"/>
    <col min="6150" max="6150" width="1.7109375" style="115" customWidth="1"/>
    <col min="6151" max="6151" width="11.28515625" style="115" bestFit="1" customWidth="1"/>
    <col min="6152" max="6152" width="1.7109375" style="115" customWidth="1"/>
    <col min="6153" max="6153" width="11.28515625" style="115" bestFit="1" customWidth="1"/>
    <col min="6154" max="6396" width="9.140625" style="115"/>
    <col min="6397" max="6397" width="16.28515625" style="115" customWidth="1"/>
    <col min="6398" max="6398" width="1.7109375" style="115" customWidth="1"/>
    <col min="6399" max="6399" width="10" style="115" bestFit="1" customWidth="1"/>
    <col min="6400" max="6400" width="1.7109375" style="115" customWidth="1"/>
    <col min="6401" max="6401" width="9.28515625" style="115" customWidth="1"/>
    <col min="6402" max="6402" width="1.7109375" style="115" customWidth="1"/>
    <col min="6403" max="6403" width="10.7109375" style="115" customWidth="1"/>
    <col min="6404" max="6404" width="1.7109375" style="115" customWidth="1"/>
    <col min="6405" max="6405" width="11.28515625" style="115" bestFit="1" customWidth="1"/>
    <col min="6406" max="6406" width="1.7109375" style="115" customWidth="1"/>
    <col min="6407" max="6407" width="11.28515625" style="115" bestFit="1" customWidth="1"/>
    <col min="6408" max="6408" width="1.7109375" style="115" customWidth="1"/>
    <col min="6409" max="6409" width="11.28515625" style="115" bestFit="1" customWidth="1"/>
    <col min="6410" max="6652" width="9.140625" style="115"/>
    <col min="6653" max="6653" width="16.28515625" style="115" customWidth="1"/>
    <col min="6654" max="6654" width="1.7109375" style="115" customWidth="1"/>
    <col min="6655" max="6655" width="10" style="115" bestFit="1" customWidth="1"/>
    <col min="6656" max="6656" width="1.7109375" style="115" customWidth="1"/>
    <col min="6657" max="6657" width="9.28515625" style="115" customWidth="1"/>
    <col min="6658" max="6658" width="1.7109375" style="115" customWidth="1"/>
    <col min="6659" max="6659" width="10.7109375" style="115" customWidth="1"/>
    <col min="6660" max="6660" width="1.7109375" style="115" customWidth="1"/>
    <col min="6661" max="6661" width="11.28515625" style="115" bestFit="1" customWidth="1"/>
    <col min="6662" max="6662" width="1.7109375" style="115" customWidth="1"/>
    <col min="6663" max="6663" width="11.28515625" style="115" bestFit="1" customWidth="1"/>
    <col min="6664" max="6664" width="1.7109375" style="115" customWidth="1"/>
    <col min="6665" max="6665" width="11.28515625" style="115" bestFit="1" customWidth="1"/>
    <col min="6666" max="6908" width="9.140625" style="115"/>
    <col min="6909" max="6909" width="16.28515625" style="115" customWidth="1"/>
    <col min="6910" max="6910" width="1.7109375" style="115" customWidth="1"/>
    <col min="6911" max="6911" width="10" style="115" bestFit="1" customWidth="1"/>
    <col min="6912" max="6912" width="1.7109375" style="115" customWidth="1"/>
    <col min="6913" max="6913" width="9.28515625" style="115" customWidth="1"/>
    <col min="6914" max="6914" width="1.7109375" style="115" customWidth="1"/>
    <col min="6915" max="6915" width="10.7109375" style="115" customWidth="1"/>
    <col min="6916" max="6916" width="1.7109375" style="115" customWidth="1"/>
    <col min="6917" max="6917" width="11.28515625" style="115" bestFit="1" customWidth="1"/>
    <col min="6918" max="6918" width="1.7109375" style="115" customWidth="1"/>
    <col min="6919" max="6919" width="11.28515625" style="115" bestFit="1" customWidth="1"/>
    <col min="6920" max="6920" width="1.7109375" style="115" customWidth="1"/>
    <col min="6921" max="6921" width="11.28515625" style="115" bestFit="1" customWidth="1"/>
    <col min="6922" max="7164" width="9.140625" style="115"/>
    <col min="7165" max="7165" width="16.28515625" style="115" customWidth="1"/>
    <col min="7166" max="7166" width="1.7109375" style="115" customWidth="1"/>
    <col min="7167" max="7167" width="10" style="115" bestFit="1" customWidth="1"/>
    <col min="7168" max="7168" width="1.7109375" style="115" customWidth="1"/>
    <col min="7169" max="7169" width="9.28515625" style="115" customWidth="1"/>
    <col min="7170" max="7170" width="1.7109375" style="115" customWidth="1"/>
    <col min="7171" max="7171" width="10.7109375" style="115" customWidth="1"/>
    <col min="7172" max="7172" width="1.7109375" style="115" customWidth="1"/>
    <col min="7173" max="7173" width="11.28515625" style="115" bestFit="1" customWidth="1"/>
    <col min="7174" max="7174" width="1.7109375" style="115" customWidth="1"/>
    <col min="7175" max="7175" width="11.28515625" style="115" bestFit="1" customWidth="1"/>
    <col min="7176" max="7176" width="1.7109375" style="115" customWidth="1"/>
    <col min="7177" max="7177" width="11.28515625" style="115" bestFit="1" customWidth="1"/>
    <col min="7178" max="7420" width="9.140625" style="115"/>
    <col min="7421" max="7421" width="16.28515625" style="115" customWidth="1"/>
    <col min="7422" max="7422" width="1.7109375" style="115" customWidth="1"/>
    <col min="7423" max="7423" width="10" style="115" bestFit="1" customWidth="1"/>
    <col min="7424" max="7424" width="1.7109375" style="115" customWidth="1"/>
    <col min="7425" max="7425" width="9.28515625" style="115" customWidth="1"/>
    <col min="7426" max="7426" width="1.7109375" style="115" customWidth="1"/>
    <col min="7427" max="7427" width="10.7109375" style="115" customWidth="1"/>
    <col min="7428" max="7428" width="1.7109375" style="115" customWidth="1"/>
    <col min="7429" max="7429" width="11.28515625" style="115" bestFit="1" customWidth="1"/>
    <col min="7430" max="7430" width="1.7109375" style="115" customWidth="1"/>
    <col min="7431" max="7431" width="11.28515625" style="115" bestFit="1" customWidth="1"/>
    <col min="7432" max="7432" width="1.7109375" style="115" customWidth="1"/>
    <col min="7433" max="7433" width="11.28515625" style="115" bestFit="1" customWidth="1"/>
    <col min="7434" max="7676" width="9.140625" style="115"/>
    <col min="7677" max="7677" width="16.28515625" style="115" customWidth="1"/>
    <col min="7678" max="7678" width="1.7109375" style="115" customWidth="1"/>
    <col min="7679" max="7679" width="10" style="115" bestFit="1" customWidth="1"/>
    <col min="7680" max="7680" width="1.7109375" style="115" customWidth="1"/>
    <col min="7681" max="7681" width="9.28515625" style="115" customWidth="1"/>
    <col min="7682" max="7682" width="1.7109375" style="115" customWidth="1"/>
    <col min="7683" max="7683" width="10.7109375" style="115" customWidth="1"/>
    <col min="7684" max="7684" width="1.7109375" style="115" customWidth="1"/>
    <col min="7685" max="7685" width="11.28515625" style="115" bestFit="1" customWidth="1"/>
    <col min="7686" max="7686" width="1.7109375" style="115" customWidth="1"/>
    <col min="7687" max="7687" width="11.28515625" style="115" bestFit="1" customWidth="1"/>
    <col min="7688" max="7688" width="1.7109375" style="115" customWidth="1"/>
    <col min="7689" max="7689" width="11.28515625" style="115" bestFit="1" customWidth="1"/>
    <col min="7690" max="7932" width="9.140625" style="115"/>
    <col min="7933" max="7933" width="16.28515625" style="115" customWidth="1"/>
    <col min="7934" max="7934" width="1.7109375" style="115" customWidth="1"/>
    <col min="7935" max="7935" width="10" style="115" bestFit="1" customWidth="1"/>
    <col min="7936" max="7936" width="1.7109375" style="115" customWidth="1"/>
    <col min="7937" max="7937" width="9.28515625" style="115" customWidth="1"/>
    <col min="7938" max="7938" width="1.7109375" style="115" customWidth="1"/>
    <col min="7939" max="7939" width="10.7109375" style="115" customWidth="1"/>
    <col min="7940" max="7940" width="1.7109375" style="115" customWidth="1"/>
    <col min="7941" max="7941" width="11.28515625" style="115" bestFit="1" customWidth="1"/>
    <col min="7942" max="7942" width="1.7109375" style="115" customWidth="1"/>
    <col min="7943" max="7943" width="11.28515625" style="115" bestFit="1" customWidth="1"/>
    <col min="7944" max="7944" width="1.7109375" style="115" customWidth="1"/>
    <col min="7945" max="7945" width="11.28515625" style="115" bestFit="1" customWidth="1"/>
    <col min="7946" max="8188" width="9.140625" style="115"/>
    <col min="8189" max="8189" width="16.28515625" style="115" customWidth="1"/>
    <col min="8190" max="8190" width="1.7109375" style="115" customWidth="1"/>
    <col min="8191" max="8191" width="10" style="115" bestFit="1" customWidth="1"/>
    <col min="8192" max="8192" width="1.7109375" style="115" customWidth="1"/>
    <col min="8193" max="8193" width="9.28515625" style="115" customWidth="1"/>
    <col min="8194" max="8194" width="1.7109375" style="115" customWidth="1"/>
    <col min="8195" max="8195" width="10.7109375" style="115" customWidth="1"/>
    <col min="8196" max="8196" width="1.7109375" style="115" customWidth="1"/>
    <col min="8197" max="8197" width="11.28515625" style="115" bestFit="1" customWidth="1"/>
    <col min="8198" max="8198" width="1.7109375" style="115" customWidth="1"/>
    <col min="8199" max="8199" width="11.28515625" style="115" bestFit="1" customWidth="1"/>
    <col min="8200" max="8200" width="1.7109375" style="115" customWidth="1"/>
    <col min="8201" max="8201" width="11.28515625" style="115" bestFit="1" customWidth="1"/>
    <col min="8202" max="8444" width="9.140625" style="115"/>
    <col min="8445" max="8445" width="16.28515625" style="115" customWidth="1"/>
    <col min="8446" max="8446" width="1.7109375" style="115" customWidth="1"/>
    <col min="8447" max="8447" width="10" style="115" bestFit="1" customWidth="1"/>
    <col min="8448" max="8448" width="1.7109375" style="115" customWidth="1"/>
    <col min="8449" max="8449" width="9.28515625" style="115" customWidth="1"/>
    <col min="8450" max="8450" width="1.7109375" style="115" customWidth="1"/>
    <col min="8451" max="8451" width="10.7109375" style="115" customWidth="1"/>
    <col min="8452" max="8452" width="1.7109375" style="115" customWidth="1"/>
    <col min="8453" max="8453" width="11.28515625" style="115" bestFit="1" customWidth="1"/>
    <col min="8454" max="8454" width="1.7109375" style="115" customWidth="1"/>
    <col min="8455" max="8455" width="11.28515625" style="115" bestFit="1" customWidth="1"/>
    <col min="8456" max="8456" width="1.7109375" style="115" customWidth="1"/>
    <col min="8457" max="8457" width="11.28515625" style="115" bestFit="1" customWidth="1"/>
    <col min="8458" max="8700" width="9.140625" style="115"/>
    <col min="8701" max="8701" width="16.28515625" style="115" customWidth="1"/>
    <col min="8702" max="8702" width="1.7109375" style="115" customWidth="1"/>
    <col min="8703" max="8703" width="10" style="115" bestFit="1" customWidth="1"/>
    <col min="8704" max="8704" width="1.7109375" style="115" customWidth="1"/>
    <col min="8705" max="8705" width="9.28515625" style="115" customWidth="1"/>
    <col min="8706" max="8706" width="1.7109375" style="115" customWidth="1"/>
    <col min="8707" max="8707" width="10.7109375" style="115" customWidth="1"/>
    <col min="8708" max="8708" width="1.7109375" style="115" customWidth="1"/>
    <col min="8709" max="8709" width="11.28515625" style="115" bestFit="1" customWidth="1"/>
    <col min="8710" max="8710" width="1.7109375" style="115" customWidth="1"/>
    <col min="8711" max="8711" width="11.28515625" style="115" bestFit="1" customWidth="1"/>
    <col min="8712" max="8712" width="1.7109375" style="115" customWidth="1"/>
    <col min="8713" max="8713" width="11.28515625" style="115" bestFit="1" customWidth="1"/>
    <col min="8714" max="8956" width="9.140625" style="115"/>
    <col min="8957" max="8957" width="16.28515625" style="115" customWidth="1"/>
    <col min="8958" max="8958" width="1.7109375" style="115" customWidth="1"/>
    <col min="8959" max="8959" width="10" style="115" bestFit="1" customWidth="1"/>
    <col min="8960" max="8960" width="1.7109375" style="115" customWidth="1"/>
    <col min="8961" max="8961" width="9.28515625" style="115" customWidth="1"/>
    <col min="8962" max="8962" width="1.7109375" style="115" customWidth="1"/>
    <col min="8963" max="8963" width="10.7109375" style="115" customWidth="1"/>
    <col min="8964" max="8964" width="1.7109375" style="115" customWidth="1"/>
    <col min="8965" max="8965" width="11.28515625" style="115" bestFit="1" customWidth="1"/>
    <col min="8966" max="8966" width="1.7109375" style="115" customWidth="1"/>
    <col min="8967" max="8967" width="11.28515625" style="115" bestFit="1" customWidth="1"/>
    <col min="8968" max="8968" width="1.7109375" style="115" customWidth="1"/>
    <col min="8969" max="8969" width="11.28515625" style="115" bestFit="1" customWidth="1"/>
    <col min="8970" max="9212" width="9.140625" style="115"/>
    <col min="9213" max="9213" width="16.28515625" style="115" customWidth="1"/>
    <col min="9214" max="9214" width="1.7109375" style="115" customWidth="1"/>
    <col min="9215" max="9215" width="10" style="115" bestFit="1" customWidth="1"/>
    <col min="9216" max="9216" width="1.7109375" style="115" customWidth="1"/>
    <col min="9217" max="9217" width="9.28515625" style="115" customWidth="1"/>
    <col min="9218" max="9218" width="1.7109375" style="115" customWidth="1"/>
    <col min="9219" max="9219" width="10.7109375" style="115" customWidth="1"/>
    <col min="9220" max="9220" width="1.7109375" style="115" customWidth="1"/>
    <col min="9221" max="9221" width="11.28515625" style="115" bestFit="1" customWidth="1"/>
    <col min="9222" max="9222" width="1.7109375" style="115" customWidth="1"/>
    <col min="9223" max="9223" width="11.28515625" style="115" bestFit="1" customWidth="1"/>
    <col min="9224" max="9224" width="1.7109375" style="115" customWidth="1"/>
    <col min="9225" max="9225" width="11.28515625" style="115" bestFit="1" customWidth="1"/>
    <col min="9226" max="9468" width="9.140625" style="115"/>
    <col min="9469" max="9469" width="16.28515625" style="115" customWidth="1"/>
    <col min="9470" max="9470" width="1.7109375" style="115" customWidth="1"/>
    <col min="9471" max="9471" width="10" style="115" bestFit="1" customWidth="1"/>
    <col min="9472" max="9472" width="1.7109375" style="115" customWidth="1"/>
    <col min="9473" max="9473" width="9.28515625" style="115" customWidth="1"/>
    <col min="9474" max="9474" width="1.7109375" style="115" customWidth="1"/>
    <col min="9475" max="9475" width="10.7109375" style="115" customWidth="1"/>
    <col min="9476" max="9476" width="1.7109375" style="115" customWidth="1"/>
    <col min="9477" max="9477" width="11.28515625" style="115" bestFit="1" customWidth="1"/>
    <col min="9478" max="9478" width="1.7109375" style="115" customWidth="1"/>
    <col min="9479" max="9479" width="11.28515625" style="115" bestFit="1" customWidth="1"/>
    <col min="9480" max="9480" width="1.7109375" style="115" customWidth="1"/>
    <col min="9481" max="9481" width="11.28515625" style="115" bestFit="1" customWidth="1"/>
    <col min="9482" max="9724" width="9.140625" style="115"/>
    <col min="9725" max="9725" width="16.28515625" style="115" customWidth="1"/>
    <col min="9726" max="9726" width="1.7109375" style="115" customWidth="1"/>
    <col min="9727" max="9727" width="10" style="115" bestFit="1" customWidth="1"/>
    <col min="9728" max="9728" width="1.7109375" style="115" customWidth="1"/>
    <col min="9729" max="9729" width="9.28515625" style="115" customWidth="1"/>
    <col min="9730" max="9730" width="1.7109375" style="115" customWidth="1"/>
    <col min="9731" max="9731" width="10.7109375" style="115" customWidth="1"/>
    <col min="9732" max="9732" width="1.7109375" style="115" customWidth="1"/>
    <col min="9733" max="9733" width="11.28515625" style="115" bestFit="1" customWidth="1"/>
    <col min="9734" max="9734" width="1.7109375" style="115" customWidth="1"/>
    <col min="9735" max="9735" width="11.28515625" style="115" bestFit="1" customWidth="1"/>
    <col min="9736" max="9736" width="1.7109375" style="115" customWidth="1"/>
    <col min="9737" max="9737" width="11.28515625" style="115" bestFit="1" customWidth="1"/>
    <col min="9738" max="9980" width="9.140625" style="115"/>
    <col min="9981" max="9981" width="16.28515625" style="115" customWidth="1"/>
    <col min="9982" max="9982" width="1.7109375" style="115" customWidth="1"/>
    <col min="9983" max="9983" width="10" style="115" bestFit="1" customWidth="1"/>
    <col min="9984" max="9984" width="1.7109375" style="115" customWidth="1"/>
    <col min="9985" max="9985" width="9.28515625" style="115" customWidth="1"/>
    <col min="9986" max="9986" width="1.7109375" style="115" customWidth="1"/>
    <col min="9987" max="9987" width="10.7109375" style="115" customWidth="1"/>
    <col min="9988" max="9988" width="1.7109375" style="115" customWidth="1"/>
    <col min="9989" max="9989" width="11.28515625" style="115" bestFit="1" customWidth="1"/>
    <col min="9990" max="9990" width="1.7109375" style="115" customWidth="1"/>
    <col min="9991" max="9991" width="11.28515625" style="115" bestFit="1" customWidth="1"/>
    <col min="9992" max="9992" width="1.7109375" style="115" customWidth="1"/>
    <col min="9993" max="9993" width="11.28515625" style="115" bestFit="1" customWidth="1"/>
    <col min="9994" max="10236" width="9.140625" style="115"/>
    <col min="10237" max="10237" width="16.28515625" style="115" customWidth="1"/>
    <col min="10238" max="10238" width="1.7109375" style="115" customWidth="1"/>
    <col min="10239" max="10239" width="10" style="115" bestFit="1" customWidth="1"/>
    <col min="10240" max="10240" width="1.7109375" style="115" customWidth="1"/>
    <col min="10241" max="10241" width="9.28515625" style="115" customWidth="1"/>
    <col min="10242" max="10242" width="1.7109375" style="115" customWidth="1"/>
    <col min="10243" max="10243" width="10.7109375" style="115" customWidth="1"/>
    <col min="10244" max="10244" width="1.7109375" style="115" customWidth="1"/>
    <col min="10245" max="10245" width="11.28515625" style="115" bestFit="1" customWidth="1"/>
    <col min="10246" max="10246" width="1.7109375" style="115" customWidth="1"/>
    <col min="10247" max="10247" width="11.28515625" style="115" bestFit="1" customWidth="1"/>
    <col min="10248" max="10248" width="1.7109375" style="115" customWidth="1"/>
    <col min="10249" max="10249" width="11.28515625" style="115" bestFit="1" customWidth="1"/>
    <col min="10250" max="10492" width="9.140625" style="115"/>
    <col min="10493" max="10493" width="16.28515625" style="115" customWidth="1"/>
    <col min="10494" max="10494" width="1.7109375" style="115" customWidth="1"/>
    <col min="10495" max="10495" width="10" style="115" bestFit="1" customWidth="1"/>
    <col min="10496" max="10496" width="1.7109375" style="115" customWidth="1"/>
    <col min="10497" max="10497" width="9.28515625" style="115" customWidth="1"/>
    <col min="10498" max="10498" width="1.7109375" style="115" customWidth="1"/>
    <col min="10499" max="10499" width="10.7109375" style="115" customWidth="1"/>
    <col min="10500" max="10500" width="1.7109375" style="115" customWidth="1"/>
    <col min="10501" max="10501" width="11.28515625" style="115" bestFit="1" customWidth="1"/>
    <col min="10502" max="10502" width="1.7109375" style="115" customWidth="1"/>
    <col min="10503" max="10503" width="11.28515625" style="115" bestFit="1" customWidth="1"/>
    <col min="10504" max="10504" width="1.7109375" style="115" customWidth="1"/>
    <col min="10505" max="10505" width="11.28515625" style="115" bestFit="1" customWidth="1"/>
    <col min="10506" max="10748" width="9.140625" style="115"/>
    <col min="10749" max="10749" width="16.28515625" style="115" customWidth="1"/>
    <col min="10750" max="10750" width="1.7109375" style="115" customWidth="1"/>
    <col min="10751" max="10751" width="10" style="115" bestFit="1" customWidth="1"/>
    <col min="10752" max="10752" width="1.7109375" style="115" customWidth="1"/>
    <col min="10753" max="10753" width="9.28515625" style="115" customWidth="1"/>
    <col min="10754" max="10754" width="1.7109375" style="115" customWidth="1"/>
    <col min="10755" max="10755" width="10.7109375" style="115" customWidth="1"/>
    <col min="10756" max="10756" width="1.7109375" style="115" customWidth="1"/>
    <col min="10757" max="10757" width="11.28515625" style="115" bestFit="1" customWidth="1"/>
    <col min="10758" max="10758" width="1.7109375" style="115" customWidth="1"/>
    <col min="10759" max="10759" width="11.28515625" style="115" bestFit="1" customWidth="1"/>
    <col min="10760" max="10760" width="1.7109375" style="115" customWidth="1"/>
    <col min="10761" max="10761" width="11.28515625" style="115" bestFit="1" customWidth="1"/>
    <col min="10762" max="11004" width="9.140625" style="115"/>
    <col min="11005" max="11005" width="16.28515625" style="115" customWidth="1"/>
    <col min="11006" max="11006" width="1.7109375" style="115" customWidth="1"/>
    <col min="11007" max="11007" width="10" style="115" bestFit="1" customWidth="1"/>
    <col min="11008" max="11008" width="1.7109375" style="115" customWidth="1"/>
    <col min="11009" max="11009" width="9.28515625" style="115" customWidth="1"/>
    <col min="11010" max="11010" width="1.7109375" style="115" customWidth="1"/>
    <col min="11011" max="11011" width="10.7109375" style="115" customWidth="1"/>
    <col min="11012" max="11012" width="1.7109375" style="115" customWidth="1"/>
    <col min="11013" max="11013" width="11.28515625" style="115" bestFit="1" customWidth="1"/>
    <col min="11014" max="11014" width="1.7109375" style="115" customWidth="1"/>
    <col min="11015" max="11015" width="11.28515625" style="115" bestFit="1" customWidth="1"/>
    <col min="11016" max="11016" width="1.7109375" style="115" customWidth="1"/>
    <col min="11017" max="11017" width="11.28515625" style="115" bestFit="1" customWidth="1"/>
    <col min="11018" max="11260" width="9.140625" style="115"/>
    <col min="11261" max="11261" width="16.28515625" style="115" customWidth="1"/>
    <col min="11262" max="11262" width="1.7109375" style="115" customWidth="1"/>
    <col min="11263" max="11263" width="10" style="115" bestFit="1" customWidth="1"/>
    <col min="11264" max="11264" width="1.7109375" style="115" customWidth="1"/>
    <col min="11265" max="11265" width="9.28515625" style="115" customWidth="1"/>
    <col min="11266" max="11266" width="1.7109375" style="115" customWidth="1"/>
    <col min="11267" max="11267" width="10.7109375" style="115" customWidth="1"/>
    <col min="11268" max="11268" width="1.7109375" style="115" customWidth="1"/>
    <col min="11269" max="11269" width="11.28515625" style="115" bestFit="1" customWidth="1"/>
    <col min="11270" max="11270" width="1.7109375" style="115" customWidth="1"/>
    <col min="11271" max="11271" width="11.28515625" style="115" bestFit="1" customWidth="1"/>
    <col min="11272" max="11272" width="1.7109375" style="115" customWidth="1"/>
    <col min="11273" max="11273" width="11.28515625" style="115" bestFit="1" customWidth="1"/>
    <col min="11274" max="11516" width="9.140625" style="115"/>
    <col min="11517" max="11517" width="16.28515625" style="115" customWidth="1"/>
    <col min="11518" max="11518" width="1.7109375" style="115" customWidth="1"/>
    <col min="11519" max="11519" width="10" style="115" bestFit="1" customWidth="1"/>
    <col min="11520" max="11520" width="1.7109375" style="115" customWidth="1"/>
    <col min="11521" max="11521" width="9.28515625" style="115" customWidth="1"/>
    <col min="11522" max="11522" width="1.7109375" style="115" customWidth="1"/>
    <col min="11523" max="11523" width="10.7109375" style="115" customWidth="1"/>
    <col min="11524" max="11524" width="1.7109375" style="115" customWidth="1"/>
    <col min="11525" max="11525" width="11.28515625" style="115" bestFit="1" customWidth="1"/>
    <col min="11526" max="11526" width="1.7109375" style="115" customWidth="1"/>
    <col min="11527" max="11527" width="11.28515625" style="115" bestFit="1" customWidth="1"/>
    <col min="11528" max="11528" width="1.7109375" style="115" customWidth="1"/>
    <col min="11529" max="11529" width="11.28515625" style="115" bestFit="1" customWidth="1"/>
    <col min="11530" max="11772" width="9.140625" style="115"/>
    <col min="11773" max="11773" width="16.28515625" style="115" customWidth="1"/>
    <col min="11774" max="11774" width="1.7109375" style="115" customWidth="1"/>
    <col min="11775" max="11775" width="10" style="115" bestFit="1" customWidth="1"/>
    <col min="11776" max="11776" width="1.7109375" style="115" customWidth="1"/>
    <col min="11777" max="11777" width="9.28515625" style="115" customWidth="1"/>
    <col min="11778" max="11778" width="1.7109375" style="115" customWidth="1"/>
    <col min="11779" max="11779" width="10.7109375" style="115" customWidth="1"/>
    <col min="11780" max="11780" width="1.7109375" style="115" customWidth="1"/>
    <col min="11781" max="11781" width="11.28515625" style="115" bestFit="1" customWidth="1"/>
    <col min="11782" max="11782" width="1.7109375" style="115" customWidth="1"/>
    <col min="11783" max="11783" width="11.28515625" style="115" bestFit="1" customWidth="1"/>
    <col min="11784" max="11784" width="1.7109375" style="115" customWidth="1"/>
    <col min="11785" max="11785" width="11.28515625" style="115" bestFit="1" customWidth="1"/>
    <col min="11786" max="12028" width="9.140625" style="115"/>
    <col min="12029" max="12029" width="16.28515625" style="115" customWidth="1"/>
    <col min="12030" max="12030" width="1.7109375" style="115" customWidth="1"/>
    <col min="12031" max="12031" width="10" style="115" bestFit="1" customWidth="1"/>
    <col min="12032" max="12032" width="1.7109375" style="115" customWidth="1"/>
    <col min="12033" max="12033" width="9.28515625" style="115" customWidth="1"/>
    <col min="12034" max="12034" width="1.7109375" style="115" customWidth="1"/>
    <col min="12035" max="12035" width="10.7109375" style="115" customWidth="1"/>
    <col min="12036" max="12036" width="1.7109375" style="115" customWidth="1"/>
    <col min="12037" max="12037" width="11.28515625" style="115" bestFit="1" customWidth="1"/>
    <col min="12038" max="12038" width="1.7109375" style="115" customWidth="1"/>
    <col min="12039" max="12039" width="11.28515625" style="115" bestFit="1" customWidth="1"/>
    <col min="12040" max="12040" width="1.7109375" style="115" customWidth="1"/>
    <col min="12041" max="12041" width="11.28515625" style="115" bestFit="1" customWidth="1"/>
    <col min="12042" max="12284" width="9.140625" style="115"/>
    <col min="12285" max="12285" width="16.28515625" style="115" customWidth="1"/>
    <col min="12286" max="12286" width="1.7109375" style="115" customWidth="1"/>
    <col min="12287" max="12287" width="10" style="115" bestFit="1" customWidth="1"/>
    <col min="12288" max="12288" width="1.7109375" style="115" customWidth="1"/>
    <col min="12289" max="12289" width="9.28515625" style="115" customWidth="1"/>
    <col min="12290" max="12290" width="1.7109375" style="115" customWidth="1"/>
    <col min="12291" max="12291" width="10.7109375" style="115" customWidth="1"/>
    <col min="12292" max="12292" width="1.7109375" style="115" customWidth="1"/>
    <col min="12293" max="12293" width="11.28515625" style="115" bestFit="1" customWidth="1"/>
    <col min="12294" max="12294" width="1.7109375" style="115" customWidth="1"/>
    <col min="12295" max="12295" width="11.28515625" style="115" bestFit="1" customWidth="1"/>
    <col min="12296" max="12296" width="1.7109375" style="115" customWidth="1"/>
    <col min="12297" max="12297" width="11.28515625" style="115" bestFit="1" customWidth="1"/>
    <col min="12298" max="12540" width="9.140625" style="115"/>
    <col min="12541" max="12541" width="16.28515625" style="115" customWidth="1"/>
    <col min="12542" max="12542" width="1.7109375" style="115" customWidth="1"/>
    <col min="12543" max="12543" width="10" style="115" bestFit="1" customWidth="1"/>
    <col min="12544" max="12544" width="1.7109375" style="115" customWidth="1"/>
    <col min="12545" max="12545" width="9.28515625" style="115" customWidth="1"/>
    <col min="12546" max="12546" width="1.7109375" style="115" customWidth="1"/>
    <col min="12547" max="12547" width="10.7109375" style="115" customWidth="1"/>
    <col min="12548" max="12548" width="1.7109375" style="115" customWidth="1"/>
    <col min="12549" max="12549" width="11.28515625" style="115" bestFit="1" customWidth="1"/>
    <col min="12550" max="12550" width="1.7109375" style="115" customWidth="1"/>
    <col min="12551" max="12551" width="11.28515625" style="115" bestFit="1" customWidth="1"/>
    <col min="12552" max="12552" width="1.7109375" style="115" customWidth="1"/>
    <col min="12553" max="12553" width="11.28515625" style="115" bestFit="1" customWidth="1"/>
    <col min="12554" max="12796" width="9.140625" style="115"/>
    <col min="12797" max="12797" width="16.28515625" style="115" customWidth="1"/>
    <col min="12798" max="12798" width="1.7109375" style="115" customWidth="1"/>
    <col min="12799" max="12799" width="10" style="115" bestFit="1" customWidth="1"/>
    <col min="12800" max="12800" width="1.7109375" style="115" customWidth="1"/>
    <col min="12801" max="12801" width="9.28515625" style="115" customWidth="1"/>
    <col min="12802" max="12802" width="1.7109375" style="115" customWidth="1"/>
    <col min="12803" max="12803" width="10.7109375" style="115" customWidth="1"/>
    <col min="12804" max="12804" width="1.7109375" style="115" customWidth="1"/>
    <col min="12805" max="12805" width="11.28515625" style="115" bestFit="1" customWidth="1"/>
    <col min="12806" max="12806" width="1.7109375" style="115" customWidth="1"/>
    <col min="12807" max="12807" width="11.28515625" style="115" bestFit="1" customWidth="1"/>
    <col min="12808" max="12808" width="1.7109375" style="115" customWidth="1"/>
    <col min="12809" max="12809" width="11.28515625" style="115" bestFit="1" customWidth="1"/>
    <col min="12810" max="13052" width="9.140625" style="115"/>
    <col min="13053" max="13053" width="16.28515625" style="115" customWidth="1"/>
    <col min="13054" max="13054" width="1.7109375" style="115" customWidth="1"/>
    <col min="13055" max="13055" width="10" style="115" bestFit="1" customWidth="1"/>
    <col min="13056" max="13056" width="1.7109375" style="115" customWidth="1"/>
    <col min="13057" max="13057" width="9.28515625" style="115" customWidth="1"/>
    <col min="13058" max="13058" width="1.7109375" style="115" customWidth="1"/>
    <col min="13059" max="13059" width="10.7109375" style="115" customWidth="1"/>
    <col min="13060" max="13060" width="1.7109375" style="115" customWidth="1"/>
    <col min="13061" max="13061" width="11.28515625" style="115" bestFit="1" customWidth="1"/>
    <col min="13062" max="13062" width="1.7109375" style="115" customWidth="1"/>
    <col min="13063" max="13063" width="11.28515625" style="115" bestFit="1" customWidth="1"/>
    <col min="13064" max="13064" width="1.7109375" style="115" customWidth="1"/>
    <col min="13065" max="13065" width="11.28515625" style="115" bestFit="1" customWidth="1"/>
    <col min="13066" max="13308" width="9.140625" style="115"/>
    <col min="13309" max="13309" width="16.28515625" style="115" customWidth="1"/>
    <col min="13310" max="13310" width="1.7109375" style="115" customWidth="1"/>
    <col min="13311" max="13311" width="10" style="115" bestFit="1" customWidth="1"/>
    <col min="13312" max="13312" width="1.7109375" style="115" customWidth="1"/>
    <col min="13313" max="13313" width="9.28515625" style="115" customWidth="1"/>
    <col min="13314" max="13314" width="1.7109375" style="115" customWidth="1"/>
    <col min="13315" max="13315" width="10.7109375" style="115" customWidth="1"/>
    <col min="13316" max="13316" width="1.7109375" style="115" customWidth="1"/>
    <col min="13317" max="13317" width="11.28515625" style="115" bestFit="1" customWidth="1"/>
    <col min="13318" max="13318" width="1.7109375" style="115" customWidth="1"/>
    <col min="13319" max="13319" width="11.28515625" style="115" bestFit="1" customWidth="1"/>
    <col min="13320" max="13320" width="1.7109375" style="115" customWidth="1"/>
    <col min="13321" max="13321" width="11.28515625" style="115" bestFit="1" customWidth="1"/>
    <col min="13322" max="13564" width="9.140625" style="115"/>
    <col min="13565" max="13565" width="16.28515625" style="115" customWidth="1"/>
    <col min="13566" max="13566" width="1.7109375" style="115" customWidth="1"/>
    <col min="13567" max="13567" width="10" style="115" bestFit="1" customWidth="1"/>
    <col min="13568" max="13568" width="1.7109375" style="115" customWidth="1"/>
    <col min="13569" max="13569" width="9.28515625" style="115" customWidth="1"/>
    <col min="13570" max="13570" width="1.7109375" style="115" customWidth="1"/>
    <col min="13571" max="13571" width="10.7109375" style="115" customWidth="1"/>
    <col min="13572" max="13572" width="1.7109375" style="115" customWidth="1"/>
    <col min="13573" max="13573" width="11.28515625" style="115" bestFit="1" customWidth="1"/>
    <col min="13574" max="13574" width="1.7109375" style="115" customWidth="1"/>
    <col min="13575" max="13575" width="11.28515625" style="115" bestFit="1" customWidth="1"/>
    <col min="13576" max="13576" width="1.7109375" style="115" customWidth="1"/>
    <col min="13577" max="13577" width="11.28515625" style="115" bestFit="1" customWidth="1"/>
    <col min="13578" max="13820" width="9.140625" style="115"/>
    <col min="13821" max="13821" width="16.28515625" style="115" customWidth="1"/>
    <col min="13822" max="13822" width="1.7109375" style="115" customWidth="1"/>
    <col min="13823" max="13823" width="10" style="115" bestFit="1" customWidth="1"/>
    <col min="13824" max="13824" width="1.7109375" style="115" customWidth="1"/>
    <col min="13825" max="13825" width="9.28515625" style="115" customWidth="1"/>
    <col min="13826" max="13826" width="1.7109375" style="115" customWidth="1"/>
    <col min="13827" max="13827" width="10.7109375" style="115" customWidth="1"/>
    <col min="13828" max="13828" width="1.7109375" style="115" customWidth="1"/>
    <col min="13829" max="13829" width="11.28515625" style="115" bestFit="1" customWidth="1"/>
    <col min="13830" max="13830" width="1.7109375" style="115" customWidth="1"/>
    <col min="13831" max="13831" width="11.28515625" style="115" bestFit="1" customWidth="1"/>
    <col min="13832" max="13832" width="1.7109375" style="115" customWidth="1"/>
    <col min="13833" max="13833" width="11.28515625" style="115" bestFit="1" customWidth="1"/>
    <col min="13834" max="14076" width="9.140625" style="115"/>
    <col min="14077" max="14077" width="16.28515625" style="115" customWidth="1"/>
    <col min="14078" max="14078" width="1.7109375" style="115" customWidth="1"/>
    <col min="14079" max="14079" width="10" style="115" bestFit="1" customWidth="1"/>
    <col min="14080" max="14080" width="1.7109375" style="115" customWidth="1"/>
    <col min="14081" max="14081" width="9.28515625" style="115" customWidth="1"/>
    <col min="14082" max="14082" width="1.7109375" style="115" customWidth="1"/>
    <col min="14083" max="14083" width="10.7109375" style="115" customWidth="1"/>
    <col min="14084" max="14084" width="1.7109375" style="115" customWidth="1"/>
    <col min="14085" max="14085" width="11.28515625" style="115" bestFit="1" customWidth="1"/>
    <col min="14086" max="14086" width="1.7109375" style="115" customWidth="1"/>
    <col min="14087" max="14087" width="11.28515625" style="115" bestFit="1" customWidth="1"/>
    <col min="14088" max="14088" width="1.7109375" style="115" customWidth="1"/>
    <col min="14089" max="14089" width="11.28515625" style="115" bestFit="1" customWidth="1"/>
    <col min="14090" max="14332" width="9.140625" style="115"/>
    <col min="14333" max="14333" width="16.28515625" style="115" customWidth="1"/>
    <col min="14334" max="14334" width="1.7109375" style="115" customWidth="1"/>
    <col min="14335" max="14335" width="10" style="115" bestFit="1" customWidth="1"/>
    <col min="14336" max="14336" width="1.7109375" style="115" customWidth="1"/>
    <col min="14337" max="14337" width="9.28515625" style="115" customWidth="1"/>
    <col min="14338" max="14338" width="1.7109375" style="115" customWidth="1"/>
    <col min="14339" max="14339" width="10.7109375" style="115" customWidth="1"/>
    <col min="14340" max="14340" width="1.7109375" style="115" customWidth="1"/>
    <col min="14341" max="14341" width="11.28515625" style="115" bestFit="1" customWidth="1"/>
    <col min="14342" max="14342" width="1.7109375" style="115" customWidth="1"/>
    <col min="14343" max="14343" width="11.28515625" style="115" bestFit="1" customWidth="1"/>
    <col min="14344" max="14344" width="1.7109375" style="115" customWidth="1"/>
    <col min="14345" max="14345" width="11.28515625" style="115" bestFit="1" customWidth="1"/>
    <col min="14346" max="14588" width="9.140625" style="115"/>
    <col min="14589" max="14589" width="16.28515625" style="115" customWidth="1"/>
    <col min="14590" max="14590" width="1.7109375" style="115" customWidth="1"/>
    <col min="14591" max="14591" width="10" style="115" bestFit="1" customWidth="1"/>
    <col min="14592" max="14592" width="1.7109375" style="115" customWidth="1"/>
    <col min="14593" max="14593" width="9.28515625" style="115" customWidth="1"/>
    <col min="14594" max="14594" width="1.7109375" style="115" customWidth="1"/>
    <col min="14595" max="14595" width="10.7109375" style="115" customWidth="1"/>
    <col min="14596" max="14596" width="1.7109375" style="115" customWidth="1"/>
    <col min="14597" max="14597" width="11.28515625" style="115" bestFit="1" customWidth="1"/>
    <col min="14598" max="14598" width="1.7109375" style="115" customWidth="1"/>
    <col min="14599" max="14599" width="11.28515625" style="115" bestFit="1" customWidth="1"/>
    <col min="14600" max="14600" width="1.7109375" style="115" customWidth="1"/>
    <col min="14601" max="14601" width="11.28515625" style="115" bestFit="1" customWidth="1"/>
    <col min="14602" max="14844" width="9.140625" style="115"/>
    <col min="14845" max="14845" width="16.28515625" style="115" customWidth="1"/>
    <col min="14846" max="14846" width="1.7109375" style="115" customWidth="1"/>
    <col min="14847" max="14847" width="10" style="115" bestFit="1" customWidth="1"/>
    <col min="14848" max="14848" width="1.7109375" style="115" customWidth="1"/>
    <col min="14849" max="14849" width="9.28515625" style="115" customWidth="1"/>
    <col min="14850" max="14850" width="1.7109375" style="115" customWidth="1"/>
    <col min="14851" max="14851" width="10.7109375" style="115" customWidth="1"/>
    <col min="14852" max="14852" width="1.7109375" style="115" customWidth="1"/>
    <col min="14853" max="14853" width="11.28515625" style="115" bestFit="1" customWidth="1"/>
    <col min="14854" max="14854" width="1.7109375" style="115" customWidth="1"/>
    <col min="14855" max="14855" width="11.28515625" style="115" bestFit="1" customWidth="1"/>
    <col min="14856" max="14856" width="1.7109375" style="115" customWidth="1"/>
    <col min="14857" max="14857" width="11.28515625" style="115" bestFit="1" customWidth="1"/>
    <col min="14858" max="15100" width="9.140625" style="115"/>
    <col min="15101" max="15101" width="16.28515625" style="115" customWidth="1"/>
    <col min="15102" max="15102" width="1.7109375" style="115" customWidth="1"/>
    <col min="15103" max="15103" width="10" style="115" bestFit="1" customWidth="1"/>
    <col min="15104" max="15104" width="1.7109375" style="115" customWidth="1"/>
    <col min="15105" max="15105" width="9.28515625" style="115" customWidth="1"/>
    <col min="15106" max="15106" width="1.7109375" style="115" customWidth="1"/>
    <col min="15107" max="15107" width="10.7109375" style="115" customWidth="1"/>
    <col min="15108" max="15108" width="1.7109375" style="115" customWidth="1"/>
    <col min="15109" max="15109" width="11.28515625" style="115" bestFit="1" customWidth="1"/>
    <col min="15110" max="15110" width="1.7109375" style="115" customWidth="1"/>
    <col min="15111" max="15111" width="11.28515625" style="115" bestFit="1" customWidth="1"/>
    <col min="15112" max="15112" width="1.7109375" style="115" customWidth="1"/>
    <col min="15113" max="15113" width="11.28515625" style="115" bestFit="1" customWidth="1"/>
    <col min="15114" max="15356" width="9.140625" style="115"/>
    <col min="15357" max="15357" width="16.28515625" style="115" customWidth="1"/>
    <col min="15358" max="15358" width="1.7109375" style="115" customWidth="1"/>
    <col min="15359" max="15359" width="10" style="115" bestFit="1" customWidth="1"/>
    <col min="15360" max="15360" width="1.7109375" style="115" customWidth="1"/>
    <col min="15361" max="15361" width="9.28515625" style="115" customWidth="1"/>
    <col min="15362" max="15362" width="1.7109375" style="115" customWidth="1"/>
    <col min="15363" max="15363" width="10.7109375" style="115" customWidth="1"/>
    <col min="15364" max="15364" width="1.7109375" style="115" customWidth="1"/>
    <col min="15365" max="15365" width="11.28515625" style="115" bestFit="1" customWidth="1"/>
    <col min="15366" max="15366" width="1.7109375" style="115" customWidth="1"/>
    <col min="15367" max="15367" width="11.28515625" style="115" bestFit="1" customWidth="1"/>
    <col min="15368" max="15368" width="1.7109375" style="115" customWidth="1"/>
    <col min="15369" max="15369" width="11.28515625" style="115" bestFit="1" customWidth="1"/>
    <col min="15370" max="15612" width="9.140625" style="115"/>
    <col min="15613" max="15613" width="16.28515625" style="115" customWidth="1"/>
    <col min="15614" max="15614" width="1.7109375" style="115" customWidth="1"/>
    <col min="15615" max="15615" width="10" style="115" bestFit="1" customWidth="1"/>
    <col min="15616" max="15616" width="1.7109375" style="115" customWidth="1"/>
    <col min="15617" max="15617" width="9.28515625" style="115" customWidth="1"/>
    <col min="15618" max="15618" width="1.7109375" style="115" customWidth="1"/>
    <col min="15619" max="15619" width="10.7109375" style="115" customWidth="1"/>
    <col min="15620" max="15620" width="1.7109375" style="115" customWidth="1"/>
    <col min="15621" max="15621" width="11.28515625" style="115" bestFit="1" customWidth="1"/>
    <col min="15622" max="15622" width="1.7109375" style="115" customWidth="1"/>
    <col min="15623" max="15623" width="11.28515625" style="115" bestFit="1" customWidth="1"/>
    <col min="15624" max="15624" width="1.7109375" style="115" customWidth="1"/>
    <col min="15625" max="15625" width="11.28515625" style="115" bestFit="1" customWidth="1"/>
    <col min="15626" max="15868" width="9.140625" style="115"/>
    <col min="15869" max="15869" width="16.28515625" style="115" customWidth="1"/>
    <col min="15870" max="15870" width="1.7109375" style="115" customWidth="1"/>
    <col min="15871" max="15871" width="10" style="115" bestFit="1" customWidth="1"/>
    <col min="15872" max="15872" width="1.7109375" style="115" customWidth="1"/>
    <col min="15873" max="15873" width="9.28515625" style="115" customWidth="1"/>
    <col min="15874" max="15874" width="1.7109375" style="115" customWidth="1"/>
    <col min="15875" max="15875" width="10.7109375" style="115" customWidth="1"/>
    <col min="15876" max="15876" width="1.7109375" style="115" customWidth="1"/>
    <col min="15877" max="15877" width="11.28515625" style="115" bestFit="1" customWidth="1"/>
    <col min="15878" max="15878" width="1.7109375" style="115" customWidth="1"/>
    <col min="15879" max="15879" width="11.28515625" style="115" bestFit="1" customWidth="1"/>
    <col min="15880" max="15880" width="1.7109375" style="115" customWidth="1"/>
    <col min="15881" max="15881" width="11.28515625" style="115" bestFit="1" customWidth="1"/>
    <col min="15882" max="16124" width="9.140625" style="115"/>
    <col min="16125" max="16125" width="16.28515625" style="115" customWidth="1"/>
    <col min="16126" max="16126" width="1.7109375" style="115" customWidth="1"/>
    <col min="16127" max="16127" width="10" style="115" bestFit="1" customWidth="1"/>
    <col min="16128" max="16128" width="1.7109375" style="115" customWidth="1"/>
    <col min="16129" max="16129" width="9.28515625" style="115" customWidth="1"/>
    <col min="16130" max="16130" width="1.7109375" style="115" customWidth="1"/>
    <col min="16131" max="16131" width="10.7109375" style="115" customWidth="1"/>
    <col min="16132" max="16132" width="1.7109375" style="115" customWidth="1"/>
    <col min="16133" max="16133" width="11.28515625" style="115" bestFit="1" customWidth="1"/>
    <col min="16134" max="16134" width="1.7109375" style="115" customWidth="1"/>
    <col min="16135" max="16135" width="11.28515625" style="115" bestFit="1" customWidth="1"/>
    <col min="16136" max="16136" width="1.7109375" style="115" customWidth="1"/>
    <col min="16137" max="16137" width="11.28515625" style="115" bestFit="1" customWidth="1"/>
    <col min="16138" max="16384" width="9.140625" style="115"/>
  </cols>
  <sheetData>
    <row r="2" spans="1:18" s="116" customFormat="1" x14ac:dyDescent="0.25"/>
    <row r="3" spans="1:18" x14ac:dyDescent="0.25">
      <c r="F3" s="116"/>
      <c r="G3" s="116"/>
      <c r="H3" s="116"/>
      <c r="I3" s="116"/>
      <c r="J3" s="116"/>
      <c r="L3" s="115" t="s">
        <v>116</v>
      </c>
      <c r="P3"/>
      <c r="Q3"/>
    </row>
    <row r="4" spans="1:18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8" x14ac:dyDescent="0.25">
      <c r="A5" s="117" t="s">
        <v>0</v>
      </c>
      <c r="B5" s="117"/>
      <c r="C5" s="117"/>
      <c r="D5" s="117"/>
      <c r="E5" s="117"/>
      <c r="F5" s="117"/>
      <c r="G5" s="117"/>
      <c r="H5" s="117"/>
      <c r="I5" s="117"/>
      <c r="J5" s="116"/>
    </row>
    <row r="6" spans="1:18" x14ac:dyDescent="0.25">
      <c r="A6" s="117" t="s">
        <v>92</v>
      </c>
      <c r="B6" s="117"/>
      <c r="C6" s="117"/>
      <c r="D6" s="117"/>
      <c r="E6" s="117"/>
      <c r="F6" s="117"/>
      <c r="G6" s="117"/>
      <c r="H6" s="117"/>
      <c r="I6" s="117"/>
      <c r="J6" s="116"/>
      <c r="K6" s="185">
        <v>6.2E-2</v>
      </c>
    </row>
    <row r="7" spans="1:18" x14ac:dyDescent="0.25">
      <c r="A7" s="117" t="str">
        <f>' Electric'!A6</f>
        <v>FOR THE TWELVE MONTHS ENDED DECEMBER 31, 2024</v>
      </c>
      <c r="B7" s="117"/>
      <c r="C7" s="117"/>
      <c r="D7" s="117"/>
      <c r="E7" s="117"/>
      <c r="F7" s="117"/>
      <c r="G7" s="117"/>
      <c r="H7" s="117"/>
      <c r="I7" s="117"/>
      <c r="J7" s="116"/>
      <c r="K7" s="187">
        <v>1.4500000000000001E-2</v>
      </c>
    </row>
    <row r="8" spans="1:18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88">
        <f>SUM(K6:K7)</f>
        <v>7.6499999999999999E-2</v>
      </c>
      <c r="L8" s="116"/>
    </row>
    <row r="9" spans="1:18" x14ac:dyDescent="0.25">
      <c r="C9" s="118" t="s">
        <v>21</v>
      </c>
      <c r="D9" s="118"/>
      <c r="E9" s="118"/>
      <c r="F9" s="116"/>
      <c r="G9" s="118" t="s">
        <v>22</v>
      </c>
      <c r="H9" s="118"/>
      <c r="I9" s="118"/>
      <c r="J9" s="116"/>
      <c r="K9" s="116"/>
      <c r="P9"/>
      <c r="Q9"/>
    </row>
    <row r="10" spans="1:18" x14ac:dyDescent="0.25">
      <c r="C10" s="116"/>
      <c r="D10" s="116"/>
      <c r="E10" s="119"/>
      <c r="F10" s="116"/>
      <c r="G10" s="120"/>
      <c r="H10" s="120"/>
      <c r="I10" s="120"/>
      <c r="J10" s="116"/>
      <c r="K10" s="116"/>
      <c r="L10" s="115" t="s">
        <v>117</v>
      </c>
      <c r="P10"/>
      <c r="Q10"/>
    </row>
    <row r="11" spans="1:18" x14ac:dyDescent="0.25">
      <c r="C11" s="119" t="s">
        <v>93</v>
      </c>
      <c r="D11" s="119"/>
      <c r="E11" s="119"/>
      <c r="F11" s="119"/>
      <c r="G11" s="119" t="s">
        <v>93</v>
      </c>
      <c r="H11" s="119"/>
      <c r="I11" s="119"/>
      <c r="J11" s="116"/>
      <c r="K11" s="116"/>
    </row>
    <row r="12" spans="1:18" x14ac:dyDescent="0.25">
      <c r="A12" s="121" t="s">
        <v>30</v>
      </c>
      <c r="C12" s="122" t="s">
        <v>94</v>
      </c>
      <c r="D12" s="119"/>
      <c r="E12" s="122" t="s">
        <v>95</v>
      </c>
      <c r="F12" s="119"/>
      <c r="G12" s="122" t="s">
        <v>94</v>
      </c>
      <c r="H12" s="119"/>
      <c r="I12" s="122" t="s">
        <v>95</v>
      </c>
      <c r="J12" s="116"/>
      <c r="K12" s="185"/>
    </row>
    <row r="13" spans="1:18" x14ac:dyDescent="0.25">
      <c r="C13" s="116"/>
      <c r="D13" s="116"/>
      <c r="E13" s="116"/>
      <c r="F13" s="116"/>
      <c r="G13" s="116"/>
      <c r="H13" s="116"/>
      <c r="I13" s="116"/>
      <c r="J13" s="116"/>
      <c r="K13" s="185">
        <v>6.0000000000000001E-3</v>
      </c>
      <c r="L13" s="123"/>
      <c r="M13" s="123"/>
      <c r="N13" s="123"/>
      <c r="O13" s="123"/>
    </row>
    <row r="14" spans="1:18" x14ac:dyDescent="0.25">
      <c r="C14" s="116"/>
      <c r="D14" s="116"/>
      <c r="E14" s="116"/>
      <c r="F14" s="116"/>
      <c r="G14" s="116"/>
      <c r="H14" s="116"/>
      <c r="I14" s="116"/>
      <c r="J14" s="123"/>
      <c r="K14" s="186"/>
      <c r="L14" s="123"/>
      <c r="M14" s="123"/>
      <c r="N14" s="123"/>
      <c r="O14" s="123"/>
    </row>
    <row r="15" spans="1:18" x14ac:dyDescent="0.25">
      <c r="C15" s="124" t="s">
        <v>96</v>
      </c>
      <c r="D15" s="124"/>
      <c r="E15" s="124"/>
      <c r="F15" s="116"/>
      <c r="G15" s="124" t="s">
        <v>97</v>
      </c>
      <c r="H15" s="124"/>
      <c r="I15" s="124"/>
      <c r="J15" s="123"/>
      <c r="K15" s="116"/>
      <c r="L15" s="127" t="s">
        <v>118</v>
      </c>
      <c r="M15" s="123"/>
      <c r="N15" s="127"/>
      <c r="O15" s="123"/>
      <c r="P15" s="116"/>
      <c r="Q15" s="116"/>
      <c r="R15" s="116"/>
    </row>
    <row r="16" spans="1:18" x14ac:dyDescent="0.25">
      <c r="A16" s="115" t="s">
        <v>98</v>
      </c>
      <c r="C16" s="125">
        <f>'Incent &amp; Related PR Tax - TY'!C21</f>
        <v>12849505.436616018</v>
      </c>
      <c r="D16" s="116"/>
      <c r="E16" s="126">
        <f>'4 Year Average Calc'!M12</f>
        <v>9814834.8231836054</v>
      </c>
      <c r="F16" s="116"/>
      <c r="G16" s="125">
        <f>'Incent &amp; Related PR Tax - TY'!D21</f>
        <v>4369592.8750117887</v>
      </c>
      <c r="H16" s="116"/>
      <c r="I16" s="125">
        <f>'4 Year Average Calc'!N12</f>
        <v>3587546.2098816186</v>
      </c>
      <c r="J16" s="123"/>
      <c r="K16" s="185"/>
    </row>
    <row r="17" spans="1:21" x14ac:dyDescent="0.25">
      <c r="A17" s="115" t="s">
        <v>99</v>
      </c>
      <c r="C17" s="128">
        <f>C24</f>
        <v>8.7900000000000006E-2</v>
      </c>
      <c r="D17" s="116"/>
      <c r="E17" s="128">
        <f>C17</f>
        <v>8.7900000000000006E-2</v>
      </c>
      <c r="F17" s="116"/>
      <c r="G17" s="128">
        <f>C17</f>
        <v>8.7900000000000006E-2</v>
      </c>
      <c r="H17" s="116"/>
      <c r="I17" s="128">
        <f>C17</f>
        <v>8.7900000000000006E-2</v>
      </c>
      <c r="J17" s="123"/>
      <c r="K17" s="185"/>
      <c r="L17" s="127"/>
      <c r="M17" s="127"/>
      <c r="N17" s="127"/>
      <c r="O17" s="123"/>
    </row>
    <row r="18" spans="1:21" ht="15.75" thickBot="1" x14ac:dyDescent="0.3">
      <c r="A18" s="115" t="s">
        <v>100</v>
      </c>
      <c r="C18" s="129">
        <f>C16*C17</f>
        <v>1129471.527878548</v>
      </c>
      <c r="D18" s="116"/>
      <c r="E18" s="129">
        <f>E16*E17</f>
        <v>862723.98095783894</v>
      </c>
      <c r="F18" s="116"/>
      <c r="G18" s="129">
        <f>G16*G17</f>
        <v>384087.21371353627</v>
      </c>
      <c r="H18" s="116"/>
      <c r="I18" s="129">
        <f>I16*I17</f>
        <v>315345.31184859428</v>
      </c>
      <c r="J18" s="123"/>
      <c r="K18" s="186"/>
      <c r="L18" s="123"/>
      <c r="M18" s="123"/>
      <c r="N18" s="123"/>
      <c r="O18" s="123"/>
      <c r="P18" s="130"/>
      <c r="Q18" s="130"/>
      <c r="R18" s="130"/>
      <c r="S18" s="130"/>
      <c r="T18" s="130"/>
      <c r="U18" s="130"/>
    </row>
    <row r="19" spans="1:21" s="130" customFormat="1" ht="15.75" thickTop="1" x14ac:dyDescent="0.25">
      <c r="C19" s="131"/>
      <c r="D19" s="123"/>
      <c r="E19" s="132"/>
      <c r="F19" s="123"/>
      <c r="G19" s="131"/>
      <c r="H19" s="123"/>
      <c r="I19" s="131"/>
      <c r="J19" s="123"/>
      <c r="K19" s="116"/>
      <c r="L19" s="133"/>
      <c r="M19" s="133"/>
      <c r="N19" s="133"/>
      <c r="O19" s="133"/>
      <c r="P19" s="115"/>
      <c r="Q19" s="115"/>
      <c r="R19" s="115"/>
      <c r="S19" s="115"/>
      <c r="T19" s="115"/>
      <c r="U19" s="115"/>
    </row>
    <row r="20" spans="1:21" x14ac:dyDescent="0.25">
      <c r="C20" s="116"/>
      <c r="D20" s="116"/>
      <c r="E20" s="133"/>
      <c r="F20" s="133"/>
      <c r="G20" s="134"/>
      <c r="H20" s="134"/>
      <c r="I20" s="134"/>
      <c r="J20" s="133"/>
      <c r="K20" s="185"/>
    </row>
    <row r="21" spans="1:21" x14ac:dyDescent="0.25">
      <c r="A21" t="s">
        <v>105</v>
      </c>
      <c r="B21"/>
      <c r="C21" s="2">
        <f>+K8</f>
        <v>7.6499999999999999E-2</v>
      </c>
      <c r="D21" s="116"/>
      <c r="E21" s="116"/>
      <c r="F21" s="116"/>
      <c r="G21" s="116"/>
      <c r="H21" s="116"/>
      <c r="I21" s="116"/>
      <c r="J21" s="116"/>
      <c r="K21" s="185">
        <v>5.4000000000000003E-3</v>
      </c>
    </row>
    <row r="22" spans="1:21" x14ac:dyDescent="0.25">
      <c r="A22" t="s">
        <v>106</v>
      </c>
      <c r="B22"/>
      <c r="C22" s="2">
        <f>K13</f>
        <v>6.0000000000000001E-3</v>
      </c>
      <c r="D22" s="116"/>
      <c r="E22" s="116"/>
      <c r="F22" s="116"/>
      <c r="G22" s="116"/>
      <c r="H22" s="116"/>
      <c r="I22" s="116"/>
      <c r="J22" s="116"/>
      <c r="K22" s="116"/>
    </row>
    <row r="23" spans="1:21" x14ac:dyDescent="0.25">
      <c r="A23" s="3" t="s">
        <v>107</v>
      </c>
      <c r="B23" s="3"/>
      <c r="C23" s="1">
        <f>K21</f>
        <v>5.4000000000000003E-3</v>
      </c>
      <c r="D23" s="116"/>
      <c r="E23" s="116"/>
      <c r="F23" s="116"/>
      <c r="G23" s="116"/>
      <c r="H23" s="116"/>
      <c r="I23" s="116"/>
      <c r="J23" s="116"/>
      <c r="K23" s="116"/>
    </row>
    <row r="24" spans="1:21" x14ac:dyDescent="0.25">
      <c r="A24" t="s">
        <v>108</v>
      </c>
      <c r="B24"/>
      <c r="C24" s="2">
        <f>SUM(C21:C23)</f>
        <v>8.7900000000000006E-2</v>
      </c>
      <c r="D24" s="116"/>
      <c r="E24" s="116"/>
      <c r="F24" s="116"/>
      <c r="G24" s="116"/>
      <c r="H24" s="116"/>
      <c r="I24" s="116"/>
      <c r="J24" s="116"/>
      <c r="K24" s="116"/>
    </row>
    <row r="25" spans="1:21" x14ac:dyDescent="0.25"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21" x14ac:dyDescent="0.25">
      <c r="C26" s="137"/>
      <c r="D26" s="116"/>
      <c r="E26" s="116"/>
      <c r="F26" s="116"/>
      <c r="G26" s="116"/>
      <c r="H26" s="116"/>
      <c r="I26" s="116"/>
      <c r="J26" s="116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1190E6-2769-4C36-953E-5BC0B5B33769}"/>
</file>

<file path=customXml/itemProps2.xml><?xml version="1.0" encoding="utf-8"?>
<ds:datastoreItem xmlns:ds="http://schemas.openxmlformats.org/officeDocument/2006/customXml" ds:itemID="{E3656E42-7596-4E08-984D-7ACD2C8AACC2}"/>
</file>

<file path=customXml/itemProps3.xml><?xml version="1.0" encoding="utf-8"?>
<ds:datastoreItem xmlns:ds="http://schemas.openxmlformats.org/officeDocument/2006/customXml" ds:itemID="{EB45DF73-3D9E-44D7-8785-AC52C7DE0CB0}"/>
</file>

<file path=customXml/itemProps4.xml><?xml version="1.0" encoding="utf-8"?>
<ds:datastoreItem xmlns:ds="http://schemas.openxmlformats.org/officeDocument/2006/customXml" ds:itemID="{599805FA-E0B8-4F85-A7A9-2B5B42917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Electric</vt:lpstr>
      <vt:lpstr> Gas</vt:lpstr>
      <vt:lpstr>4 Year Average Calc</vt:lpstr>
      <vt:lpstr>Incent &amp; Related PR Tax - TY</vt:lpstr>
      <vt:lpstr>Report 2024</vt:lpstr>
      <vt:lpstr>WP</vt:lpstr>
      <vt:lpstr>Manual Clearing</vt:lpstr>
      <vt:lpstr>FERC Topsides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2019-03-04T23:22:02Z</cp:lastPrinted>
  <dcterms:created xsi:type="dcterms:W3CDTF">2014-07-31T18:39:26Z</dcterms:created>
  <dcterms:modified xsi:type="dcterms:W3CDTF">2025-03-27T17:50:46Z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