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metadata.xml" ContentType="application/vnd.openxmlformats-officedocument.spreadsheetml.sheetMetadata+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7F67465F-6D43-4C8E-AD3E-B12110FB8560}" xr6:coauthVersionLast="47" xr6:coauthVersionMax="47" xr10:uidLastSave="{00000000-0000-0000-0000-000000000000}"/>
  <bookViews>
    <workbookView xWindow="-49410" yWindow="-120" windowWidth="29040" windowHeight="15840" tabRatio="725" xr2:uid="{00000000-000D-0000-FFFF-FFFF00000000}"/>
  </bookViews>
  <sheets>
    <sheet name="Fly Sheet" sheetId="41" r:id="rId1"/>
    <sheet name="LG Nonpublic 2018 V5.0c" sheetId="94" r:id="rId2"/>
    <sheet name="Operations" sheetId="71" r:id="rId3"/>
    <sheet name="Assumptions" sheetId="43" r:id="rId4"/>
    <sheet name="Sch 1 - Restated Exp" sheetId="18" r:id="rId5"/>
    <sheet name="Sch 1, pg 2 - Restated" sheetId="16" r:id="rId6"/>
    <sheet name="Sch 2 - Forecast Exp" sheetId="19" r:id="rId7"/>
    <sheet name="Sch 2, pg 2 - Forecast" sheetId="17" r:id="rId8"/>
    <sheet name="Sch 3 - Reclass Exp" sheetId="21" r:id="rId9"/>
    <sheet name="Sch 3, pg 2 - Reclass" sheetId="20" r:id="rId10"/>
    <sheet name="Sch 4 - 12 Months" sheetId="7" r:id="rId11"/>
    <sheet name="Work Papers" sheetId="42" r:id="rId12"/>
    <sheet name="WP-1 - Summary Depr" sheetId="63" r:id="rId13"/>
    <sheet name="WP-1, pg 2 - Depreciation" sheetId="100" r:id="rId14"/>
    <sheet name="WP-2 - Labor Analysis" sheetId="11" r:id="rId15"/>
    <sheet name="WP-2, pg 2 - Labor Increase" sheetId="28" r:id="rId16"/>
    <sheet name="WP-2, pg 3 - Benefits Analysis" sheetId="29" r:id="rId17"/>
    <sheet name="WP-4 - Dues &amp; Subs" sheetId="26" r:id="rId18"/>
    <sheet name="WP-5 - Capital Structure" sheetId="54" r:id="rId19"/>
    <sheet name="WP-6 - Affiliated " sheetId="66" r:id="rId20"/>
    <sheet name="WP-7 - Fuel Analysis" sheetId="49" r:id="rId21"/>
    <sheet name="WP-8 - Bad Debts" sheetId="79" r:id="rId22"/>
    <sheet name="WP-9 - Disposal Fees" sheetId="77" r:id="rId23"/>
    <sheet name="WP-10 - Rate Case Costs" sheetId="86" r:id="rId24"/>
    <sheet name="WP-11 - Non-Regulated" sheetId="96" r:id="rId25"/>
    <sheet name="WP-11, pg 2 - Non-Regulated" sheetId="97" r:id="rId26"/>
    <sheet name="WP-12 - Insurance" sheetId="99" r:id="rId27"/>
    <sheet name="WP-12, pg 2 - Insurance" sheetId="98" r:id="rId28"/>
    <sheet name="IS-PBC" sheetId="40"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#REF!</definedName>
    <definedName name="\c">'[1]10200'!$IU$8196</definedName>
    <definedName name="\E">'[2]#REF'!$AD$4</definedName>
    <definedName name="\R">'[2]#REF'!$AD$8</definedName>
    <definedName name="\y">'[1]10200'!$IU$8196</definedName>
    <definedName name="\z">#REF!</definedName>
    <definedName name="_123Graph_g" hidden="1">'[2]#REF'!$F$9:$F$83</definedName>
    <definedName name="_13054">'[3]10800-10899'!#REF!</definedName>
    <definedName name="_132" hidden="1">[1]XXXXXX!$B$10:$B$10</definedName>
    <definedName name="_132Graph_h" hidden="1">#REF!</definedName>
    <definedName name="_BUN1">'[4]2008 West Group IS'!$AJ$5</definedName>
    <definedName name="_BUN3">'[4]2008 Group Office IS'!$AJ$5</definedName>
    <definedName name="_Fill" hidden="1">#REF!</definedName>
    <definedName name="_Key1" hidden="1">#REF!</definedName>
    <definedName name="_Key2" hidden="1">'[2]#REF'!$D$12</definedName>
    <definedName name="_key5" hidden="1">[1]XXXXXX!$H$10</definedName>
    <definedName name="_max"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hidden="1">#REF!</definedName>
    <definedName name="_Sort1" hidden="1">'[2]#REF'!$A$10:$Z$281</definedName>
    <definedName name="_sort3" hidden="1">[1]XXXXXX!$G$10:$J$11</definedName>
    <definedName name="a">#REF!</definedName>
    <definedName name="aaaaaaa">rank</definedName>
    <definedName name="AD">'[1]ACC DEP 12XXX'!$A$4:$L$22</definedName>
    <definedName name="adfd">rank</definedName>
    <definedName name="ADK">'[1]10250_Recy Chkg'!$D$27</definedName>
    <definedName name="AOK">#REF!</definedName>
    <definedName name="APA">'[5]Income Statement (WMofWA)'!#REF!</definedName>
    <definedName name="APN">'[5]Income Statement (WMofWA)'!#REF!</definedName>
    <definedName name="ASD">'[5]Income Statement (WMofWA)'!#REF!</definedName>
    <definedName name="AST">'[5]Income Statement (WMofWA)'!#REF!</definedName>
    <definedName name="BEGCELL">#REF!</definedName>
    <definedName name="begin">#REF!</definedName>
    <definedName name="BREMAIR_COST_of_SERVICE_STUDY">#REF!</definedName>
    <definedName name="BUN">[4]WTB!$DD$5</definedName>
    <definedName name="BUV">'[5]Income Statement (WMofWA)'!#REF!</definedName>
    <definedName name="Calc">[4]WTB!#REF!</definedName>
    <definedName name="Calc0">[4]WTB!#REF!</definedName>
    <definedName name="Calc1">[4]WTB!#REF!</definedName>
    <definedName name="Calc10">[4]WTB!#REF!</definedName>
    <definedName name="Calc11">[4]WTB!#REF!</definedName>
    <definedName name="Calc12">[4]WTB!#REF!</definedName>
    <definedName name="Calc13">[4]WTB!#REF!</definedName>
    <definedName name="Calc14">[4]WTB!#REF!</definedName>
    <definedName name="Calc15">[4]WTB!#REF!</definedName>
    <definedName name="Calc16">[4]WTB!#REF!</definedName>
    <definedName name="Calc17">[4]WTB!#REF!</definedName>
    <definedName name="Calc18">[4]WTB!#REF!</definedName>
    <definedName name="Calc2">[4]WTB!#REF!</definedName>
    <definedName name="Calc3">[4]WTB!#REF!</definedName>
    <definedName name="Calc4">[4]WTB!#REF!</definedName>
    <definedName name="Calc5">[4]WTB!#REF!</definedName>
    <definedName name="Calc6">[4]WTB!#REF!</definedName>
    <definedName name="Calc7">[4]WTB!#REF!</definedName>
    <definedName name="Calc8">[4]WTB!#REF!</definedName>
    <definedName name="Calc9">[4]WTB!#REF!</definedName>
    <definedName name="clear">#REF!</definedName>
    <definedName name="CUR">'[6]O-9'!#REF!</definedName>
    <definedName name="CURRENCY">'[4]Balance Sheet'!$AD$8</definedName>
    <definedName name="CWR">'[1]SALES TAX RETURN_20140'!$A$1:$E$49</definedName>
    <definedName name="CWRS">#REF!</definedName>
    <definedName name="CYear">'[6]O-9'!#REF!</definedName>
    <definedName name="dasd">rank</definedName>
    <definedName name="_xlnm.Database">#REF!</definedName>
    <definedName name="Database_MI">#REF!</definedName>
    <definedName name="DAY">'[5]Income Statement (WMofWA)'!#REF!</definedName>
    <definedName name="DEBITS">'[1]ASSETS 11XXX'!$A$1:$L$19</definedName>
    <definedName name="Debt_Rate" localSheetId="1">'LG Nonpublic 2018 V5.0c'!$K$27</definedName>
    <definedName name="debtP" localSheetId="1">'LG Nonpublic 2018 V5.0c'!$I$27</definedName>
    <definedName name="deletion">#REF!</definedName>
    <definedName name="Detail">#REF!</definedName>
    <definedName name="End">'[7]IS-Murrey''s'!#REF!</definedName>
    <definedName name="EndTime">'[6]O-9'!#REF!</definedName>
    <definedName name="Equity_percent" localSheetId="1">'LG Nonpublic 2018 V5.0c'!$S$58</definedName>
    <definedName name="equityP" localSheetId="1">'LG Nonpublic 2018 V5.0c'!$I$26</definedName>
    <definedName name="expenses" localSheetId="1">'LG Nonpublic 2018 V5.0c'!$I$8</definedName>
    <definedName name="expenses">#REF!</definedName>
    <definedName name="Financial">[4]WTB!#REF!</definedName>
    <definedName name="FirstColCriteria">[4]WTB!#REF!</definedName>
    <definedName name="FirstHeaderCriteria">[4]WTB!#REF!</definedName>
    <definedName name="flag">[4]WTB!#REF!</definedName>
    <definedName name="Format_Column">#REF!</definedName>
    <definedName name="formata">#REF!</definedName>
    <definedName name="formatb">#REF!</definedName>
    <definedName name="FY">'[5]Income Statement (WMofWA)'!#REF!</definedName>
    <definedName name="Heading1">'[5]Income Statement (WMofWA)'!#REF!</definedName>
    <definedName name="IDN">'[5]Income Statement (WMofWA)'!#REF!</definedName>
    <definedName name="IFN">'[5]Income Statement (WMofWA)'!#REF!</definedName>
    <definedName name="income_statement">'Sch 4 - 12 Months'!$B$10:$O$68</definedName>
    <definedName name="INPUT" localSheetId="1">'LG Nonpublic 2018 V5.0c'!#REF!</definedName>
    <definedName name="INPUT">#REF!</definedName>
    <definedName name="INPUTc" localSheetId="1">#REF!</definedName>
    <definedName name="INPUTc">#REF!</definedName>
    <definedName name="InsertColRange">[4]WTB!#REF!</definedName>
    <definedName name="Investment" localSheetId="1">'LG Nonpublic 2018 V5.0c'!$J$28</definedName>
    <definedName name="LAST_ROW">'[8]Income Statement (Tonnage)'!#REF!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rito">#REF!</definedName>
    <definedName name="LYN">'[5]Income Statement (WMofWA)'!#REF!</definedName>
    <definedName name="master_def">'[7]IS-Murrey''s'!#REF!</definedName>
    <definedName name="MATRIX">#REF!</definedName>
    <definedName name="MthValue">'[6]O-9'!#REF!</definedName>
    <definedName name="New">#REF!</definedName>
    <definedName name="NewOnlyOrg">#REF!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#REF!</definedName>
    <definedName name="Operations">'[5]Income Statement (WMofWA)'!#REF!</definedName>
    <definedName name="OPR">'[5]Income Statement (WMofWA)'!#REF!</definedName>
    <definedName name="Org11_13">#REF!</definedName>
    <definedName name="Org7_10">#REF!</definedName>
    <definedName name="ORIG2GALWT_">#REF!</definedName>
    <definedName name="ORIG2OH">#REF!</definedName>
    <definedName name="PAGE_1">#REF!</definedName>
    <definedName name="PED">'[5]Income Statement (WMofWA)'!#REF!</definedName>
    <definedName name="PER">[4]WTB!$DC$5</definedName>
    <definedName name="Pfd_weighted" localSheetId="1">'LG Nonpublic 2018 V5.0c'!$U$57</definedName>
    <definedName name="_xlnm.Print_Area" localSheetId="3">Assumptions!$A$1:$I$19</definedName>
    <definedName name="_xlnm.Print_Area" localSheetId="0">'Fly Sheet'!$A$1:$H$38</definedName>
    <definedName name="_xlnm.Print_Area" localSheetId="28">'IS-PBC'!$A$1:$R$218</definedName>
    <definedName name="_xlnm.Print_Area" localSheetId="1">'LG Nonpublic 2018 V5.0c'!$F$2:$N$49</definedName>
    <definedName name="_xlnm.Print_Area" localSheetId="2">Operations!$A$1:$N$96</definedName>
    <definedName name="_xlnm.Print_Area" localSheetId="4">'Sch 1 - Restated Exp'!$A$1:$G$40</definedName>
    <definedName name="_xlnm.Print_Area" localSheetId="5">'Sch 1, pg 2 - Restated'!$A$1:$U$76</definedName>
    <definedName name="_xlnm.Print_Area" localSheetId="6">'Sch 2 - Forecast Exp'!$A$1:$I$14</definedName>
    <definedName name="_xlnm.Print_Area" localSheetId="7">'Sch 2, pg 2 - Forecast'!$A$1:$N$83</definedName>
    <definedName name="_xlnm.Print_Area" localSheetId="8">'Sch 3 - Reclass Exp'!$A$1:$I$9</definedName>
    <definedName name="_xlnm.Print_Area" localSheetId="9">'Sch 3, pg 2 - Reclass'!$A$1:$L$82</definedName>
    <definedName name="_xlnm.Print_Area" localSheetId="10">'Sch 4 - 12 Months'!$B$1:$U$79</definedName>
    <definedName name="_xlnm.Print_Area" localSheetId="11">'Work Papers'!$A$1:$H$30</definedName>
    <definedName name="_xlnm.Print_Area" localSheetId="12">'WP-1 - Summary Depr'!$A$1:$P$33</definedName>
    <definedName name="_xlnm.Print_Area" localSheetId="13">'WP-1, pg 2 - Depreciation'!$A$1:$AG$407</definedName>
    <definedName name="_xlnm.Print_Area" localSheetId="23">'WP-10 - Rate Case Costs'!$A$1:$F$19</definedName>
    <definedName name="_xlnm.Print_Area" localSheetId="14">'WP-2 - Labor Analysis'!$A$1:$AE$81</definedName>
    <definedName name="_xlnm.Print_Area" localSheetId="15">'WP-2, pg 2 - Labor Increase'!$A$1:$Z$107</definedName>
    <definedName name="_xlnm.Print_Area" localSheetId="16">'WP-2, pg 3 - Benefits Analysis'!$A$1:$T$88</definedName>
    <definedName name="_xlnm.Print_Area" localSheetId="17">'WP-4 - Dues &amp; Subs'!$A$1:$U$37</definedName>
    <definedName name="_xlnm.Print_Area" localSheetId="18">'WP-5 - Capital Structure'!$A$1:$H$13</definedName>
    <definedName name="_xlnm.Print_Area" localSheetId="19">'WP-6 - Affiliated '!$A$1:$G$9</definedName>
    <definedName name="_xlnm.Print_Area" localSheetId="20">'WP-7 - Fuel Analysis'!$A$1:$O$53</definedName>
    <definedName name="_xlnm.Print_Area" localSheetId="21">'WP-8 - Bad Debts'!$A$1:$H$29</definedName>
    <definedName name="_xlnm.Print_Area" localSheetId="22">'WP-9 - Disposal Fees'!$A$1:$Y$79</definedName>
    <definedName name="_xlnm.Print_Area">#REF!</definedName>
    <definedName name="Print_Area_MI" localSheetId="1">#REF!</definedName>
    <definedName name="Print_Area_MI">#REF!</definedName>
    <definedName name="Print_Area_MIc" localSheetId="1">#REF!</definedName>
    <definedName name="Print_Area_MIc">#REF!</definedName>
    <definedName name="_xlnm.Print_Titles" localSheetId="5">'Sch 1, pg 2 - Restated'!$1:$11</definedName>
    <definedName name="_xlnm.Print_Titles" localSheetId="7">'Sch 2, pg 2 - Forecast'!$1:$11</definedName>
    <definedName name="_xlnm.Print_Titles" localSheetId="9">'Sch 3, pg 2 - Reclass'!$1:$11</definedName>
    <definedName name="_xlnm.Print_Titles" localSheetId="10">'Sch 4 - 12 Months'!$1:$10</definedName>
    <definedName name="_xlnm.Print_Titles" localSheetId="15">'WP-2, pg 2 - Labor Increase'!$A:$A,'WP-2, pg 2 - Labor Increase'!$1:$5</definedName>
    <definedName name="Print_Titles_MI">#REF!</definedName>
    <definedName name="Print1">#REF!</definedName>
    <definedName name="Print2">#REF!</definedName>
    <definedName name="Prnit_Range">#REF!</definedName>
    <definedName name="PYear">'[6]O-9'!#REF!</definedName>
    <definedName name="QtrValue">#REF!</definedName>
    <definedName name="Quarter_Budget">#REF!</definedName>
    <definedName name="Quarter_Month">#REF!</definedName>
    <definedName name="RBU">'[5]Income Statement (WMofWA)'!#REF!</definedName>
    <definedName name="RCW_81.04.080">#REF!</definedName>
    <definedName name="RECAP">#REF!</definedName>
    <definedName name="RECAP2">#REF!</definedName>
    <definedName name="_xlnm.Recorder">#REF!</definedName>
    <definedName name="RecyDisposal">#REF!</definedName>
    <definedName name="regDebt_weighted" localSheetId="1">'LG Nonpublic 2018 V5.0c'!$U$56</definedName>
    <definedName name="RelatedSalary">#REF!</definedName>
    <definedName name="RevCust">'[9]Schedule 6'!#REF!</definedName>
    <definedName name="Revenue" localSheetId="1">'LG Nonpublic 2018 V5.0c'!$I$7</definedName>
    <definedName name="Revenue">#REF!</definedName>
    <definedName name="RID">'[5]Income Statement (WMofWA)'!#REF!</definedName>
    <definedName name="ROCE">#REF!,#REF!</definedName>
    <definedName name="ROW_SUPRESS">'[5]Income Statement (WMofWA)'!#REF!</definedName>
    <definedName name="RTT">'[5]Income Statement (WMofWA)'!#REF!</definedName>
    <definedName name="sale">#REF!</definedName>
    <definedName name="SALES_TAX_RETURN">#REF!</definedName>
    <definedName name="SCN">'[5]Income Statement (WMofWA)'!#REF!</definedName>
    <definedName name="SFD">[4]WTB!$DE$5</definedName>
    <definedName name="SFD_BU">'[5]Income Statement (WMofWA)'!#REF!</definedName>
    <definedName name="SFD_DEPTID">'[5]Income Statement (WMofWA)'!#REF!</definedName>
    <definedName name="SFD_OP">'[5]Income Statement (WMofWA)'!#REF!</definedName>
    <definedName name="SFD_PROD">'[5]Income Statement (WMofWA)'!#REF!</definedName>
    <definedName name="SFD_PROJ">'[5]Income Statement (WMofWA)'!#REF!</definedName>
    <definedName name="sfdbusunit">#REF!</definedName>
    <definedName name="SFV">[4]WTB!$DE$4</definedName>
    <definedName name="SFV_BU">'[5]Income Statement (WMofWA)'!#REF!</definedName>
    <definedName name="SFV_CUR">#REF!</definedName>
    <definedName name="SFV_CUR1">'[4]2008 West Group IS'!$AM$9</definedName>
    <definedName name="SFV_CUR5">'[4]2008 Group Office IS'!$AM$9</definedName>
    <definedName name="SFV_DEPTID">'[5]Income Statement (WMofWA)'!#REF!</definedName>
    <definedName name="SFV_OP">'[5]Income Statement (WMofWA)'!#REF!</definedName>
    <definedName name="SFV_PROD">'[5]Income Statement (WMofWA)'!#REF!</definedName>
    <definedName name="SFV_PROJ">'[5]Income Statement (WMofWA)'!#REF!</definedName>
    <definedName name="slope" localSheetId="1">'LG Nonpublic 2018 V5.0c'!$Y$58</definedName>
    <definedName name="slope">#REF!</definedName>
    <definedName name="sort">#REF!</definedName>
    <definedName name="Sort1">#REF!</definedName>
    <definedName name="sortcol">'[7]IS-Murrey''s'!#REF!</definedName>
    <definedName name="start">#REF!</definedName>
    <definedName name="Stop">'[6]O-9'!#REF!</definedName>
    <definedName name="SUMMARY">#REF!</definedName>
    <definedName name="Summary_DistrictName">[10]Summary!$B$7</definedName>
    <definedName name="Summary_DistrictNo">[10]Summary!$B$5</definedName>
    <definedName name="SWDisposal">#REF!</definedName>
    <definedName name="taxrate" localSheetId="1">'LG Nonpublic 2018 V5.0c'!$J$38</definedName>
    <definedName name="test">'[11]Sch 4 - 12months'!$B$10:$O$86</definedName>
    <definedName name="Title2">'[6]O-9'!#REF!</definedName>
    <definedName name="TOP">'[3]10800-10899'!#REF!</definedName>
    <definedName name="Total_Interest">'[12]Amortization Table'!$F$18</definedName>
    <definedName name="Variables">'[5]Income Statement (WMofWA)'!#REF!</definedName>
    <definedName name="Waste_Management__Inc.">#REF!</definedName>
    <definedName name="WM">#REF!</definedName>
    <definedName name="x">rank</definedName>
    <definedName name="xx">rank</definedName>
    <definedName name="xxx">rank</definedName>
    <definedName name="y_inter1" localSheetId="1">'LG Nonpublic 2018 V5.0c'!$X$55</definedName>
    <definedName name="y_inter1">#REF!</definedName>
    <definedName name="y_inter2" localSheetId="1">'LG Nonpublic 2018 V5.0c'!$X$56</definedName>
    <definedName name="y_inter2">#REF!</definedName>
    <definedName name="y_inter3" localSheetId="1">'LG Nonpublic 2018 V5.0c'!$Z$55</definedName>
    <definedName name="y_inter3">#REF!</definedName>
    <definedName name="y_inter4" localSheetId="1">'LG Nonpublic 2018 V5.0c'!$Z$56</definedName>
    <definedName name="y_inter4">#REF!</definedName>
    <definedName name="YEAR4">#REF!</definedName>
    <definedName name="yrCur">'[13]Report Template'!$B$2002</definedName>
    <definedName name="yrNext">'[13]Report Template'!$B$2003</definedName>
    <definedName name="YWMedWasteDisp">#REF!</definedName>
    <definedName name="Zero_Format">#REF!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6" l="1" a="1"/>
  <c r="A5" i="66" s="1"/>
  <c r="A1" i="66" a="1"/>
  <c r="A1" i="66" s="1"/>
  <c r="Q107" i="29"/>
  <c r="Q106" i="29"/>
  <c r="Q105" i="29"/>
  <c r="Q104" i="29"/>
  <c r="K23" i="96"/>
  <c r="K29" i="96"/>
  <c r="K40" i="96"/>
  <c r="S20" i="77"/>
  <c r="N61" i="28" l="1"/>
  <c r="O61" i="28"/>
  <c r="N60" i="28"/>
  <c r="O60" i="28"/>
  <c r="P60" i="28" s="1"/>
  <c r="Q69" i="28"/>
  <c r="Q63" i="28"/>
  <c r="Q56" i="28"/>
  <c r="Q87" i="28" s="1"/>
  <c r="Q91" i="28" s="1"/>
  <c r="Q27" i="28"/>
  <c r="Q22" i="28"/>
  <c r="N13" i="99"/>
  <c r="N28" i="99"/>
  <c r="N27" i="99"/>
  <c r="N26" i="99"/>
  <c r="M11" i="99" l="1"/>
  <c r="M21" i="99"/>
  <c r="M20" i="99"/>
  <c r="N11" i="98"/>
  <c r="M11" i="98"/>
  <c r="N36" i="17"/>
  <c r="N39" i="17"/>
  <c r="N40" i="17"/>
  <c r="N41" i="17"/>
  <c r="N42" i="17"/>
  <c r="N43" i="17"/>
  <c r="N44" i="17"/>
  <c r="N45" i="17"/>
  <c r="N46" i="17"/>
  <c r="N50" i="17"/>
  <c r="N51" i="17"/>
  <c r="N53" i="17"/>
  <c r="N54" i="17"/>
  <c r="N55" i="17"/>
  <c r="N57" i="17"/>
  <c r="N58" i="17"/>
  <c r="N59" i="17"/>
  <c r="N60" i="17"/>
  <c r="N61" i="17"/>
  <c r="N62" i="17"/>
  <c r="N63" i="17"/>
  <c r="N64" i="17"/>
  <c r="N65" i="17"/>
  <c r="N66" i="17"/>
  <c r="N67" i="17"/>
  <c r="N68" i="17"/>
  <c r="N70" i="17"/>
  <c r="N71" i="17"/>
  <c r="N72" i="17"/>
  <c r="N73" i="17"/>
  <c r="N74" i="17"/>
  <c r="N75" i="17"/>
  <c r="N77" i="17"/>
  <c r="N31" i="17"/>
  <c r="T13" i="16"/>
  <c r="F13" i="16"/>
  <c r="D40" i="18"/>
  <c r="C13" i="18"/>
  <c r="K42" i="18" l="1"/>
  <c r="L86" i="71" l="1"/>
  <c r="I86" i="71"/>
  <c r="C87" i="71"/>
  <c r="K39" i="18"/>
  <c r="K38" i="18"/>
  <c r="K40" i="18" l="1"/>
  <c r="K43" i="18" s="1"/>
  <c r="K45" i="18" s="1"/>
  <c r="Q91" i="29"/>
  <c r="T97" i="29"/>
  <c r="R97" i="29"/>
  <c r="R96" i="29"/>
  <c r="H104" i="29"/>
  <c r="R98" i="29" s="1"/>
  <c r="R90" i="29"/>
  <c r="G91" i="29"/>
  <c r="B95" i="29"/>
  <c r="R94" i="29"/>
  <c r="H95" i="29"/>
  <c r="H96" i="29" s="1"/>
  <c r="R92" i="29"/>
  <c r="Q90" i="29"/>
  <c r="B91" i="29"/>
  <c r="D19" i="18" l="1"/>
  <c r="K43" i="29" l="1"/>
  <c r="K81" i="29"/>
  <c r="K80" i="29"/>
  <c r="K78" i="29"/>
  <c r="K77" i="29"/>
  <c r="K75" i="29"/>
  <c r="K66" i="29"/>
  <c r="K61" i="29"/>
  <c r="K60" i="29"/>
  <c r="K59" i="29"/>
  <c r="K58" i="29"/>
  <c r="K54" i="29"/>
  <c r="K53" i="29"/>
  <c r="K52" i="29"/>
  <c r="K51" i="29"/>
  <c r="K49" i="29"/>
  <c r="K48" i="29"/>
  <c r="K46" i="29"/>
  <c r="K45" i="29"/>
  <c r="K44" i="29"/>
  <c r="K42" i="29"/>
  <c r="K41" i="29"/>
  <c r="K40" i="29"/>
  <c r="K39" i="29"/>
  <c r="K38" i="29"/>
  <c r="K37" i="29"/>
  <c r="K36" i="29"/>
  <c r="K35" i="29"/>
  <c r="K34" i="29"/>
  <c r="K33" i="29"/>
  <c r="K32" i="29"/>
  <c r="K31" i="29"/>
  <c r="K30" i="29"/>
  <c r="K29" i="29"/>
  <c r="K26" i="29"/>
  <c r="K25" i="29"/>
  <c r="K22" i="29"/>
  <c r="K21" i="29"/>
  <c r="K20" i="29"/>
  <c r="K19" i="29"/>
  <c r="K18" i="29"/>
  <c r="K16" i="29"/>
  <c r="K15" i="29"/>
  <c r="K12" i="29"/>
  <c r="I37" i="29"/>
  <c r="I61" i="29"/>
  <c r="I79" i="29"/>
  <c r="I78" i="29"/>
  <c r="I66" i="29"/>
  <c r="I53" i="29"/>
  <c r="I54" i="29"/>
  <c r="I52" i="29"/>
  <c r="I51" i="29"/>
  <c r="I60" i="29"/>
  <c r="I59" i="29"/>
  <c r="I58" i="29"/>
  <c r="I75" i="29"/>
  <c r="I81" i="29"/>
  <c r="I80" i="29"/>
  <c r="I77" i="29"/>
  <c r="I48" i="29"/>
  <c r="I49" i="29"/>
  <c r="I46" i="29"/>
  <c r="I45" i="29"/>
  <c r="I44" i="29"/>
  <c r="I43" i="29"/>
  <c r="I42" i="29"/>
  <c r="I41" i="29"/>
  <c r="I40" i="29"/>
  <c r="I39" i="29"/>
  <c r="I38" i="29"/>
  <c r="I36" i="29"/>
  <c r="I35" i="29"/>
  <c r="I34" i="29"/>
  <c r="I33" i="29"/>
  <c r="I32" i="29"/>
  <c r="I31" i="29"/>
  <c r="I30" i="29"/>
  <c r="I29" i="29"/>
  <c r="I26" i="29"/>
  <c r="I25" i="29"/>
  <c r="I22" i="29"/>
  <c r="I19" i="29"/>
  <c r="I20" i="29"/>
  <c r="I18" i="29"/>
  <c r="I16" i="29"/>
  <c r="I15" i="29"/>
  <c r="I12" i="29"/>
  <c r="H81" i="29"/>
  <c r="H80" i="29"/>
  <c r="H79" i="29"/>
  <c r="H78" i="29"/>
  <c r="H74" i="29"/>
  <c r="H73" i="29"/>
  <c r="H72" i="29"/>
  <c r="H71" i="29"/>
  <c r="H37" i="29"/>
  <c r="H17" i="29"/>
  <c r="H12" i="29"/>
  <c r="F38" i="20"/>
  <c r="E77" i="29"/>
  <c r="H77" i="29" s="1"/>
  <c r="E76" i="29"/>
  <c r="H76" i="29" s="1"/>
  <c r="E75" i="29"/>
  <c r="E82" i="29" s="1"/>
  <c r="E68" i="29"/>
  <c r="H68" i="29" s="1"/>
  <c r="E67" i="29"/>
  <c r="H67" i="29" s="1"/>
  <c r="E66" i="29"/>
  <c r="H66" i="29" s="1"/>
  <c r="E62" i="29"/>
  <c r="H62" i="29" s="1"/>
  <c r="E61" i="29"/>
  <c r="H61" i="29" s="1"/>
  <c r="E60" i="29"/>
  <c r="H60" i="29" s="1"/>
  <c r="E59" i="29"/>
  <c r="H59" i="29" s="1"/>
  <c r="E58" i="29"/>
  <c r="H58" i="29" s="1"/>
  <c r="E55" i="29"/>
  <c r="H55" i="29" s="1"/>
  <c r="E54" i="29"/>
  <c r="H54" i="29" s="1"/>
  <c r="E53" i="29"/>
  <c r="H53" i="29" s="1"/>
  <c r="E52" i="29"/>
  <c r="H52" i="29" s="1"/>
  <c r="E51" i="29"/>
  <c r="H51" i="29" s="1"/>
  <c r="E50" i="29"/>
  <c r="H50" i="29" s="1"/>
  <c r="E49" i="29"/>
  <c r="H49" i="29" s="1"/>
  <c r="E48" i="29"/>
  <c r="H48" i="29" s="1"/>
  <c r="E47" i="29"/>
  <c r="H47" i="29" s="1"/>
  <c r="E46" i="29"/>
  <c r="H46" i="29" s="1"/>
  <c r="E45" i="29"/>
  <c r="H45" i="29" s="1"/>
  <c r="E44" i="29"/>
  <c r="H44" i="29" s="1"/>
  <c r="E43" i="29"/>
  <c r="H43" i="29" s="1"/>
  <c r="E42" i="29"/>
  <c r="H42" i="29" s="1"/>
  <c r="E41" i="29"/>
  <c r="H41" i="29" s="1"/>
  <c r="E40" i="29"/>
  <c r="H40" i="29" s="1"/>
  <c r="E39" i="29"/>
  <c r="H39" i="29" s="1"/>
  <c r="E38" i="29"/>
  <c r="H38" i="29" s="1"/>
  <c r="E36" i="29"/>
  <c r="H36" i="29" s="1"/>
  <c r="E35" i="29"/>
  <c r="H35" i="29" s="1"/>
  <c r="E34" i="29"/>
  <c r="H34" i="29" s="1"/>
  <c r="E33" i="29"/>
  <c r="H33" i="29" s="1"/>
  <c r="E32" i="29"/>
  <c r="H32" i="29" s="1"/>
  <c r="E31" i="29"/>
  <c r="H31" i="29" s="1"/>
  <c r="E30" i="29"/>
  <c r="H30" i="29" s="1"/>
  <c r="E29" i="29"/>
  <c r="H29" i="29" s="1"/>
  <c r="E26" i="29"/>
  <c r="H26" i="29" s="1"/>
  <c r="E25" i="29"/>
  <c r="H25" i="29" s="1"/>
  <c r="E21" i="29"/>
  <c r="E22" i="29"/>
  <c r="H22" i="29" s="1"/>
  <c r="E20" i="29"/>
  <c r="H20" i="29" s="1"/>
  <c r="E19" i="29"/>
  <c r="H19" i="29" s="1"/>
  <c r="E18" i="29"/>
  <c r="H18" i="29" s="1"/>
  <c r="E16" i="29"/>
  <c r="H16" i="29" s="1"/>
  <c r="D82" i="29"/>
  <c r="D69" i="29"/>
  <c r="D63" i="29"/>
  <c r="D56" i="29"/>
  <c r="D27" i="29"/>
  <c r="F37" i="71" l="1"/>
  <c r="F44" i="71" s="1"/>
  <c r="F63" i="20"/>
  <c r="H75" i="29"/>
  <c r="C65" i="29" l="1"/>
  <c r="H65" i="29" s="1"/>
  <c r="D21" i="29" l="1"/>
  <c r="J21" i="29" s="1"/>
  <c r="J23" i="29" s="1"/>
  <c r="J86" i="29" s="1"/>
  <c r="J88" i="29" s="1"/>
  <c r="D23" i="29" l="1"/>
  <c r="D86" i="29" s="1"/>
  <c r="D88" i="29" s="1"/>
  <c r="H21" i="29"/>
  <c r="X101" i="28"/>
  <c r="AE366" i="100"/>
  <c r="AD366" i="100"/>
  <c r="AB366" i="100"/>
  <c r="Q366" i="100"/>
  <c r="N366" i="100"/>
  <c r="AE365" i="100"/>
  <c r="AD365" i="100"/>
  <c r="AB365" i="100"/>
  <c r="Q365" i="100"/>
  <c r="N365" i="100"/>
  <c r="O365" i="100" s="1"/>
  <c r="AE364" i="100"/>
  <c r="AD364" i="100"/>
  <c r="AB364" i="100"/>
  <c r="Q364" i="100"/>
  <c r="N364" i="100"/>
  <c r="D364" i="100"/>
  <c r="AA364" i="100" s="1"/>
  <c r="I364" i="100" l="1"/>
  <c r="AC364" i="100" s="1"/>
  <c r="U364" i="100"/>
  <c r="O366" i="100"/>
  <c r="O364" i="100"/>
  <c r="P364" i="100"/>
  <c r="R364" i="100" s="1"/>
  <c r="O15" i="96" l="1"/>
  <c r="L215" i="100" l="1"/>
  <c r="N212" i="100"/>
  <c r="Q212" i="100"/>
  <c r="AB212" i="100"/>
  <c r="AD212" i="100"/>
  <c r="AE212" i="100"/>
  <c r="N213" i="100"/>
  <c r="O213" i="100" s="1"/>
  <c r="Q213" i="100"/>
  <c r="AB213" i="100"/>
  <c r="AD213" i="100"/>
  <c r="AE213" i="100"/>
  <c r="D213" i="100"/>
  <c r="AA213" i="100" s="1"/>
  <c r="U213" i="100" s="1"/>
  <c r="D212" i="100"/>
  <c r="I212" i="100" s="1"/>
  <c r="AC212" i="100" s="1"/>
  <c r="Q147" i="100"/>
  <c r="AB147" i="100"/>
  <c r="AD147" i="100"/>
  <c r="AE147" i="100"/>
  <c r="L150" i="100"/>
  <c r="N147" i="100"/>
  <c r="O147" i="100" s="1"/>
  <c r="D147" i="100"/>
  <c r="AA147" i="100" s="1"/>
  <c r="Q179" i="100"/>
  <c r="AB179" i="100"/>
  <c r="AD179" i="100"/>
  <c r="AE179" i="100"/>
  <c r="L181" i="100"/>
  <c r="N179" i="100"/>
  <c r="O179" i="100" s="1"/>
  <c r="D179" i="100"/>
  <c r="AA179" i="100" s="1"/>
  <c r="Q178" i="100"/>
  <c r="AB178" i="100"/>
  <c r="AD178" i="100"/>
  <c r="AE178" i="100"/>
  <c r="N178" i="100"/>
  <c r="O178" i="100" s="1"/>
  <c r="D178" i="100"/>
  <c r="AA178" i="100" s="1"/>
  <c r="AA373" i="100"/>
  <c r="AB373" i="100"/>
  <c r="AD373" i="100"/>
  <c r="AE373" i="100"/>
  <c r="L375" i="100"/>
  <c r="N373" i="100"/>
  <c r="O373" i="100" s="1"/>
  <c r="I373" i="100"/>
  <c r="AC373" i="100" s="1"/>
  <c r="Q372" i="100"/>
  <c r="AB372" i="100"/>
  <c r="AD372" i="100"/>
  <c r="AE372" i="100"/>
  <c r="N372" i="100"/>
  <c r="O372" i="100" s="1"/>
  <c r="D372" i="100"/>
  <c r="AA372" i="100" s="1"/>
  <c r="D366" i="100"/>
  <c r="AA366" i="100" s="1"/>
  <c r="D365" i="100"/>
  <c r="AA365" i="100" s="1"/>
  <c r="I213" i="100" l="1"/>
  <c r="AC213" i="100" s="1"/>
  <c r="AA212" i="100"/>
  <c r="U212" i="100" s="1"/>
  <c r="P213" i="100"/>
  <c r="R213" i="100" s="1"/>
  <c r="P212" i="100"/>
  <c r="O212" i="100"/>
  <c r="I147" i="100"/>
  <c r="AC147" i="100" s="1"/>
  <c r="U147" i="100" s="1"/>
  <c r="U179" i="100"/>
  <c r="I179" i="100"/>
  <c r="AC179" i="100" s="1"/>
  <c r="P179" i="100" s="1"/>
  <c r="I178" i="100"/>
  <c r="AC178" i="100" s="1"/>
  <c r="U178" i="100" s="1"/>
  <c r="U372" i="100"/>
  <c r="U373" i="100"/>
  <c r="I365" i="100"/>
  <c r="AC365" i="100" s="1"/>
  <c r="U365" i="100" s="1"/>
  <c r="I366" i="100"/>
  <c r="AC366" i="100" s="1"/>
  <c r="P366" i="100" s="1"/>
  <c r="I372" i="100"/>
  <c r="AC372" i="100" s="1"/>
  <c r="P372" i="100" s="1"/>
  <c r="R372" i="100" s="1"/>
  <c r="M21" i="29"/>
  <c r="N21" i="29" s="1"/>
  <c r="M79" i="29"/>
  <c r="N79" i="29" s="1"/>
  <c r="M78" i="29"/>
  <c r="N78" i="29" s="1"/>
  <c r="M74" i="29"/>
  <c r="N74" i="29" s="1"/>
  <c r="M73" i="29"/>
  <c r="N73" i="29" s="1"/>
  <c r="M72" i="29"/>
  <c r="N72" i="29" s="1"/>
  <c r="M71" i="29"/>
  <c r="N71" i="29" s="1"/>
  <c r="M68" i="29"/>
  <c r="N68" i="29" s="1"/>
  <c r="M67" i="29"/>
  <c r="N67" i="29" s="1"/>
  <c r="M65" i="29"/>
  <c r="N65" i="29" s="1"/>
  <c r="M62" i="29"/>
  <c r="N62" i="29" s="1"/>
  <c r="M55" i="29"/>
  <c r="N55" i="29" s="1"/>
  <c r="M40" i="29"/>
  <c r="N40" i="29" s="1"/>
  <c r="M42" i="29"/>
  <c r="N42" i="29" s="1"/>
  <c r="M47" i="29"/>
  <c r="N47" i="29" s="1"/>
  <c r="M50" i="29"/>
  <c r="N50" i="29" s="1"/>
  <c r="R366" i="100" l="1"/>
  <c r="P365" i="100"/>
  <c r="R365" i="100" s="1"/>
  <c r="U366" i="100"/>
  <c r="R212" i="100"/>
  <c r="P147" i="100"/>
  <c r="R147" i="100" s="1"/>
  <c r="R179" i="100"/>
  <c r="P178" i="100"/>
  <c r="D75" i="71"/>
  <c r="AE329" i="100"/>
  <c r="AE325" i="100"/>
  <c r="AE17" i="100"/>
  <c r="R178" i="100" l="1"/>
  <c r="D25" i="18"/>
  <c r="L31" i="16" s="1"/>
  <c r="G34" i="71" s="1"/>
  <c r="L82" i="29" l="1"/>
  <c r="C82" i="29"/>
  <c r="F82" i="29"/>
  <c r="G82" i="29"/>
  <c r="B82" i="29"/>
  <c r="K69" i="29"/>
  <c r="L69" i="29"/>
  <c r="I69" i="29"/>
  <c r="B69" i="29"/>
  <c r="C69" i="29"/>
  <c r="E69" i="29"/>
  <c r="F69" i="29"/>
  <c r="G69" i="29"/>
  <c r="L63" i="29"/>
  <c r="C63" i="29"/>
  <c r="E63" i="29"/>
  <c r="F63" i="29"/>
  <c r="G63" i="29"/>
  <c r="B63" i="29"/>
  <c r="L56" i="29"/>
  <c r="C56" i="29"/>
  <c r="E56" i="29"/>
  <c r="F56" i="29"/>
  <c r="G56" i="29"/>
  <c r="B56" i="29"/>
  <c r="G27" i="29"/>
  <c r="B27" i="29"/>
  <c r="L23" i="29"/>
  <c r="C23" i="29"/>
  <c r="E23" i="29"/>
  <c r="F23" i="29"/>
  <c r="G23" i="29"/>
  <c r="B23" i="29"/>
  <c r="A79" i="29"/>
  <c r="A80" i="29"/>
  <c r="A81" i="29"/>
  <c r="A82" i="29"/>
  <c r="A27" i="29"/>
  <c r="A37" i="29"/>
  <c r="A56" i="29"/>
  <c r="A63" i="29"/>
  <c r="A69" i="29"/>
  <c r="A78" i="29"/>
  <c r="A23" i="29"/>
  <c r="A15" i="29"/>
  <c r="H23" i="29" l="1"/>
  <c r="H56" i="29"/>
  <c r="W7" i="28"/>
  <c r="W6" i="28"/>
  <c r="W5" i="28"/>
  <c r="AD21" i="11"/>
  <c r="AC21" i="11"/>
  <c r="B26" i="63"/>
  <c r="N325" i="100"/>
  <c r="Q371" i="100"/>
  <c r="AB371" i="100"/>
  <c r="AD371" i="100"/>
  <c r="AE371" i="100"/>
  <c r="L377" i="100"/>
  <c r="B21" i="63" s="1"/>
  <c r="N371" i="100"/>
  <c r="D371" i="100"/>
  <c r="AA371" i="100" s="1"/>
  <c r="Q367" i="100"/>
  <c r="AB367" i="100"/>
  <c r="AD367" i="100"/>
  <c r="AE367" i="100"/>
  <c r="Q368" i="100"/>
  <c r="AB368" i="100"/>
  <c r="AD368" i="100"/>
  <c r="AE368" i="100"/>
  <c r="Q369" i="100"/>
  <c r="AB369" i="100"/>
  <c r="AD369" i="100"/>
  <c r="AE369" i="100"/>
  <c r="Q370" i="100"/>
  <c r="AB370" i="100"/>
  <c r="AD370" i="100"/>
  <c r="AE370" i="100"/>
  <c r="N370" i="100"/>
  <c r="D370" i="100"/>
  <c r="I370" i="100" s="1"/>
  <c r="AC370" i="100" s="1"/>
  <c r="N369" i="100"/>
  <c r="D369" i="100"/>
  <c r="I369" i="100" s="1"/>
  <c r="AC369" i="100" s="1"/>
  <c r="N368" i="100"/>
  <c r="D368" i="100"/>
  <c r="I368" i="100" s="1"/>
  <c r="AC368" i="100" s="1"/>
  <c r="N367" i="100"/>
  <c r="D367" i="100"/>
  <c r="I367" i="100" s="1"/>
  <c r="AC367" i="100" s="1"/>
  <c r="L386" i="100"/>
  <c r="N383" i="100"/>
  <c r="Q383" i="100"/>
  <c r="AB383" i="100"/>
  <c r="AD383" i="100"/>
  <c r="AE383" i="100"/>
  <c r="D383" i="100"/>
  <c r="AA383" i="100" s="1"/>
  <c r="N331" i="100"/>
  <c r="Q331" i="100"/>
  <c r="AB331" i="100"/>
  <c r="AD331" i="100"/>
  <c r="AE331" i="100"/>
  <c r="N332" i="100"/>
  <c r="Q332" i="100"/>
  <c r="AB332" i="100"/>
  <c r="AD332" i="100"/>
  <c r="AE332" i="100"/>
  <c r="N333" i="100"/>
  <c r="Q333" i="100"/>
  <c r="AB333" i="100"/>
  <c r="AD333" i="100"/>
  <c r="AE333" i="100"/>
  <c r="N334" i="100"/>
  <c r="Q334" i="100"/>
  <c r="AB334" i="100"/>
  <c r="AD334" i="100"/>
  <c r="AE334" i="100"/>
  <c r="N335" i="100"/>
  <c r="Q335" i="100"/>
  <c r="AB335" i="100"/>
  <c r="AD335" i="100"/>
  <c r="AE335" i="100"/>
  <c r="N336" i="100"/>
  <c r="Q336" i="100"/>
  <c r="AB336" i="100"/>
  <c r="AD336" i="100"/>
  <c r="AE336" i="100"/>
  <c r="N337" i="100"/>
  <c r="Q337" i="100"/>
  <c r="AB337" i="100"/>
  <c r="AD337" i="100"/>
  <c r="AE337" i="100"/>
  <c r="N338" i="100"/>
  <c r="Q338" i="100"/>
  <c r="AB338" i="100"/>
  <c r="AD338" i="100"/>
  <c r="AE338" i="100"/>
  <c r="N339" i="100"/>
  <c r="Q339" i="100"/>
  <c r="AB339" i="100"/>
  <c r="AD339" i="100"/>
  <c r="AE339" i="100"/>
  <c r="N340" i="100"/>
  <c r="Q340" i="100"/>
  <c r="AB340" i="100"/>
  <c r="AD340" i="100"/>
  <c r="AE340" i="100"/>
  <c r="N341" i="100"/>
  <c r="Q341" i="100"/>
  <c r="AB341" i="100"/>
  <c r="AD341" i="100"/>
  <c r="AE341" i="100"/>
  <c r="N342" i="100"/>
  <c r="Q342" i="100"/>
  <c r="AB342" i="100"/>
  <c r="AD342" i="100"/>
  <c r="AE342" i="100"/>
  <c r="N343" i="100"/>
  <c r="Q343" i="100"/>
  <c r="AB343" i="100"/>
  <c r="AD343" i="100"/>
  <c r="AE343" i="100"/>
  <c r="N344" i="100"/>
  <c r="Q344" i="100"/>
  <c r="AB344" i="100"/>
  <c r="AD344" i="100"/>
  <c r="AE344" i="100"/>
  <c r="N345" i="100"/>
  <c r="Q345" i="100"/>
  <c r="AB345" i="100"/>
  <c r="AD345" i="100"/>
  <c r="AE345" i="100"/>
  <c r="N346" i="100"/>
  <c r="Q346" i="100"/>
  <c r="AB346" i="100"/>
  <c r="AD346" i="100"/>
  <c r="AE346" i="100"/>
  <c r="N347" i="100"/>
  <c r="Q347" i="100"/>
  <c r="AB347" i="100"/>
  <c r="AD347" i="100"/>
  <c r="AE347" i="100"/>
  <c r="N348" i="100"/>
  <c r="Q348" i="100"/>
  <c r="AB348" i="100"/>
  <c r="AD348" i="100"/>
  <c r="AE348" i="100"/>
  <c r="N349" i="100"/>
  <c r="Q349" i="100"/>
  <c r="AB349" i="100"/>
  <c r="AD349" i="100"/>
  <c r="AE349" i="100"/>
  <c r="N350" i="100"/>
  <c r="Q350" i="100"/>
  <c r="AB350" i="100"/>
  <c r="AD350" i="100"/>
  <c r="AE350" i="100"/>
  <c r="N351" i="100"/>
  <c r="Q351" i="100"/>
  <c r="AB351" i="100"/>
  <c r="AD351" i="100"/>
  <c r="AE351" i="100"/>
  <c r="N352" i="100"/>
  <c r="Q352" i="100"/>
  <c r="AB352" i="100"/>
  <c r="AD352" i="100"/>
  <c r="AE352" i="100"/>
  <c r="N353" i="100"/>
  <c r="Q353" i="100"/>
  <c r="AB353" i="100"/>
  <c r="AD353" i="100"/>
  <c r="AE353" i="100"/>
  <c r="N354" i="100"/>
  <c r="Q354" i="100"/>
  <c r="AB354" i="100"/>
  <c r="AD354" i="100"/>
  <c r="AE354" i="100"/>
  <c r="N355" i="100"/>
  <c r="Q355" i="100"/>
  <c r="AB355" i="100"/>
  <c r="AD355" i="100"/>
  <c r="AE355" i="100"/>
  <c r="N356" i="100"/>
  <c r="Q356" i="100"/>
  <c r="AB356" i="100"/>
  <c r="AD356" i="100"/>
  <c r="AE356" i="100"/>
  <c r="N357" i="100"/>
  <c r="Q357" i="100"/>
  <c r="AB357" i="100"/>
  <c r="AD357" i="100"/>
  <c r="AE357" i="100"/>
  <c r="N358" i="100"/>
  <c r="Q358" i="100"/>
  <c r="AB358" i="100"/>
  <c r="AD358" i="100"/>
  <c r="AE358" i="100"/>
  <c r="N359" i="100"/>
  <c r="Q359" i="100"/>
  <c r="AB359" i="100"/>
  <c r="AD359" i="100"/>
  <c r="AE359" i="100"/>
  <c r="N360" i="100"/>
  <c r="Q360" i="100"/>
  <c r="AB360" i="100"/>
  <c r="AD360" i="100"/>
  <c r="AE360" i="100"/>
  <c r="N361" i="100"/>
  <c r="Q361" i="100"/>
  <c r="AB361" i="100"/>
  <c r="AD361" i="100"/>
  <c r="AE361" i="100"/>
  <c r="N362" i="100"/>
  <c r="Q362" i="100"/>
  <c r="AB362" i="100"/>
  <c r="AD362" i="100"/>
  <c r="AE362" i="100"/>
  <c r="N363" i="100"/>
  <c r="Q363" i="100"/>
  <c r="AB363" i="100"/>
  <c r="AD363" i="100"/>
  <c r="AE363" i="100"/>
  <c r="D334" i="100"/>
  <c r="AA334" i="100" s="1"/>
  <c r="D335" i="100"/>
  <c r="AA335" i="100" s="1"/>
  <c r="D336" i="100"/>
  <c r="I336" i="100" s="1"/>
  <c r="AC336" i="100" s="1"/>
  <c r="D337" i="100"/>
  <c r="AA337" i="100" s="1"/>
  <c r="D338" i="100"/>
  <c r="I338" i="100" s="1"/>
  <c r="AC338" i="100" s="1"/>
  <c r="D339" i="100"/>
  <c r="AA339" i="100" s="1"/>
  <c r="D340" i="100"/>
  <c r="AA340" i="100" s="1"/>
  <c r="D341" i="100"/>
  <c r="AA341" i="100" s="1"/>
  <c r="D342" i="100"/>
  <c r="I342" i="100" s="1"/>
  <c r="AC342" i="100" s="1"/>
  <c r="D343" i="100"/>
  <c r="I343" i="100" s="1"/>
  <c r="AC343" i="100" s="1"/>
  <c r="D344" i="100"/>
  <c r="AA344" i="100" s="1"/>
  <c r="D345" i="100"/>
  <c r="AA345" i="100" s="1"/>
  <c r="D346" i="100"/>
  <c r="AA346" i="100" s="1"/>
  <c r="D347" i="100"/>
  <c r="I347" i="100" s="1"/>
  <c r="AC347" i="100" s="1"/>
  <c r="D348" i="100"/>
  <c r="I348" i="100" s="1"/>
  <c r="AC348" i="100" s="1"/>
  <c r="D349" i="100"/>
  <c r="AA349" i="100" s="1"/>
  <c r="D350" i="100"/>
  <c r="I350" i="100" s="1"/>
  <c r="AC350" i="100" s="1"/>
  <c r="D351" i="100"/>
  <c r="I351" i="100" s="1"/>
  <c r="AC351" i="100" s="1"/>
  <c r="D352" i="100"/>
  <c r="AA352" i="100" s="1"/>
  <c r="D353" i="100"/>
  <c r="I353" i="100" s="1"/>
  <c r="AC353" i="100" s="1"/>
  <c r="D354" i="100"/>
  <c r="I354" i="100" s="1"/>
  <c r="AC354" i="100" s="1"/>
  <c r="D355" i="100"/>
  <c r="AA355" i="100" s="1"/>
  <c r="D356" i="100"/>
  <c r="AA356" i="100" s="1"/>
  <c r="D357" i="100"/>
  <c r="I357" i="100" s="1"/>
  <c r="AC357" i="100" s="1"/>
  <c r="D358" i="100"/>
  <c r="AA358" i="100" s="1"/>
  <c r="D359" i="100"/>
  <c r="I359" i="100" s="1"/>
  <c r="AC359" i="100" s="1"/>
  <c r="D360" i="100"/>
  <c r="I360" i="100" s="1"/>
  <c r="AC360" i="100" s="1"/>
  <c r="D361" i="100"/>
  <c r="AA361" i="100" s="1"/>
  <c r="D362" i="100"/>
  <c r="I362" i="100" s="1"/>
  <c r="AC362" i="100" s="1"/>
  <c r="D363" i="100"/>
  <c r="I363" i="100" s="1"/>
  <c r="AC363" i="100" s="1"/>
  <c r="D333" i="100"/>
  <c r="AA333" i="100" s="1"/>
  <c r="D332" i="100"/>
  <c r="AA332" i="100" s="1"/>
  <c r="D331" i="100"/>
  <c r="AA331" i="100" s="1"/>
  <c r="L255" i="100"/>
  <c r="L257" i="100" s="1"/>
  <c r="B20" i="63" s="1"/>
  <c r="N247" i="100"/>
  <c r="Q247" i="100"/>
  <c r="AB247" i="100"/>
  <c r="AD247" i="100"/>
  <c r="AE247" i="100"/>
  <c r="N248" i="100"/>
  <c r="Q248" i="100"/>
  <c r="AB248" i="100"/>
  <c r="AD248" i="100"/>
  <c r="AE248" i="100"/>
  <c r="N249" i="100"/>
  <c r="Q249" i="100"/>
  <c r="AB249" i="100"/>
  <c r="AD249" i="100"/>
  <c r="AE249" i="100"/>
  <c r="N250" i="100"/>
  <c r="Q250" i="100"/>
  <c r="AB250" i="100"/>
  <c r="AD250" i="100"/>
  <c r="AE250" i="100"/>
  <c r="N251" i="100"/>
  <c r="Q251" i="100"/>
  <c r="AB251" i="100"/>
  <c r="AD251" i="100"/>
  <c r="AE251" i="100"/>
  <c r="N252" i="100"/>
  <c r="Q252" i="100"/>
  <c r="AB252" i="100"/>
  <c r="AD252" i="100"/>
  <c r="AE252" i="100"/>
  <c r="N253" i="100"/>
  <c r="Q253" i="100"/>
  <c r="AB253" i="100"/>
  <c r="AD253" i="100"/>
  <c r="AE253" i="100"/>
  <c r="D253" i="100"/>
  <c r="AA253" i="100" s="1"/>
  <c r="D252" i="100"/>
  <c r="I252" i="100" s="1"/>
  <c r="AC252" i="100" s="1"/>
  <c r="D251" i="100"/>
  <c r="AA251" i="100" s="1"/>
  <c r="D250" i="100"/>
  <c r="AA250" i="100" s="1"/>
  <c r="D249" i="100"/>
  <c r="I249" i="100" s="1"/>
  <c r="AC249" i="100" s="1"/>
  <c r="D248" i="100"/>
  <c r="AA248" i="100" s="1"/>
  <c r="D247" i="100"/>
  <c r="AA247" i="100" s="1"/>
  <c r="D261" i="100"/>
  <c r="I261" i="100" s="1"/>
  <c r="AC261" i="100" s="1"/>
  <c r="N261" i="100"/>
  <c r="Q261" i="100"/>
  <c r="AB261" i="100"/>
  <c r="AD261" i="100"/>
  <c r="AE261" i="100"/>
  <c r="D262" i="100"/>
  <c r="AA262" i="100" s="1"/>
  <c r="N262" i="100"/>
  <c r="Q262" i="100"/>
  <c r="AB262" i="100"/>
  <c r="AD262" i="100"/>
  <c r="AE262" i="100"/>
  <c r="D263" i="100"/>
  <c r="I263" i="100" s="1"/>
  <c r="AC263" i="100" s="1"/>
  <c r="N263" i="100"/>
  <c r="Q263" i="100"/>
  <c r="AB263" i="100"/>
  <c r="AD263" i="100"/>
  <c r="AE263" i="100"/>
  <c r="D264" i="100"/>
  <c r="I264" i="100" s="1"/>
  <c r="AC264" i="100" s="1"/>
  <c r="N264" i="100"/>
  <c r="Q264" i="100"/>
  <c r="AB264" i="100"/>
  <c r="AD264" i="100"/>
  <c r="AE264" i="100"/>
  <c r="D265" i="100"/>
  <c r="I265" i="100" s="1"/>
  <c r="AC265" i="100" s="1"/>
  <c r="N265" i="100"/>
  <c r="Q265" i="100"/>
  <c r="AB265" i="100"/>
  <c r="AD265" i="100"/>
  <c r="AE265" i="100"/>
  <c r="D266" i="100"/>
  <c r="I266" i="100" s="1"/>
  <c r="AC266" i="100" s="1"/>
  <c r="N266" i="100"/>
  <c r="Q266" i="100"/>
  <c r="AB266" i="100"/>
  <c r="AD266" i="100"/>
  <c r="AE266" i="100"/>
  <c r="L217" i="100"/>
  <c r="B19" i="63" s="1"/>
  <c r="N209" i="100"/>
  <c r="Q209" i="100"/>
  <c r="AB209" i="100"/>
  <c r="AD209" i="100"/>
  <c r="AE209" i="100"/>
  <c r="N210" i="100"/>
  <c r="Q210" i="100"/>
  <c r="AB210" i="100"/>
  <c r="AD210" i="100"/>
  <c r="AE210" i="100"/>
  <c r="N211" i="100"/>
  <c r="Q211" i="100"/>
  <c r="AB211" i="100"/>
  <c r="AD211" i="100"/>
  <c r="AE211" i="100"/>
  <c r="D211" i="100"/>
  <c r="I211" i="100" s="1"/>
  <c r="AC211" i="100" s="1"/>
  <c r="D210" i="100"/>
  <c r="AA210" i="100" s="1"/>
  <c r="D209" i="100"/>
  <c r="AA209" i="100" s="1"/>
  <c r="N197" i="100"/>
  <c r="Q197" i="100"/>
  <c r="AB197" i="100"/>
  <c r="AD197" i="100"/>
  <c r="AE197" i="100"/>
  <c r="N198" i="100"/>
  <c r="Q198" i="100"/>
  <c r="AB198" i="100"/>
  <c r="AD198" i="100"/>
  <c r="AE198" i="100"/>
  <c r="N199" i="100"/>
  <c r="Q199" i="100"/>
  <c r="AB199" i="100"/>
  <c r="AD199" i="100"/>
  <c r="AE199" i="100"/>
  <c r="N200" i="100"/>
  <c r="Q200" i="100"/>
  <c r="AB200" i="100"/>
  <c r="AD200" i="100"/>
  <c r="AE200" i="100"/>
  <c r="N201" i="100"/>
  <c r="Q201" i="100"/>
  <c r="AB201" i="100"/>
  <c r="AD201" i="100"/>
  <c r="AE201" i="100"/>
  <c r="N202" i="100"/>
  <c r="Q202" i="100"/>
  <c r="AB202" i="100"/>
  <c r="AD202" i="100"/>
  <c r="AE202" i="100"/>
  <c r="N203" i="100"/>
  <c r="Q203" i="100"/>
  <c r="AB203" i="100"/>
  <c r="AD203" i="100"/>
  <c r="AE203" i="100"/>
  <c r="N204" i="100"/>
  <c r="Q204" i="100"/>
  <c r="AB204" i="100"/>
  <c r="AD204" i="100"/>
  <c r="AE204" i="100"/>
  <c r="N205" i="100"/>
  <c r="Q205" i="100"/>
  <c r="AB205" i="100"/>
  <c r="AD205" i="100"/>
  <c r="AE205" i="100"/>
  <c r="N206" i="100"/>
  <c r="Q206" i="100"/>
  <c r="AB206" i="100"/>
  <c r="AD206" i="100"/>
  <c r="AE206" i="100"/>
  <c r="N207" i="100"/>
  <c r="Q207" i="100"/>
  <c r="AB207" i="100"/>
  <c r="AD207" i="100"/>
  <c r="AE207" i="100"/>
  <c r="N208" i="100"/>
  <c r="Q208" i="100"/>
  <c r="AB208" i="100"/>
  <c r="AD208" i="100"/>
  <c r="AE208" i="100"/>
  <c r="D208" i="100"/>
  <c r="I208" i="100" s="1"/>
  <c r="AC208" i="100" s="1"/>
  <c r="D207" i="100"/>
  <c r="I207" i="100" s="1"/>
  <c r="AC207" i="100" s="1"/>
  <c r="D206" i="100"/>
  <c r="AA206" i="100" s="1"/>
  <c r="D205" i="100"/>
  <c r="I205" i="100" s="1"/>
  <c r="AC205" i="100" s="1"/>
  <c r="D204" i="100"/>
  <c r="I204" i="100" s="1"/>
  <c r="AC204" i="100" s="1"/>
  <c r="D203" i="100"/>
  <c r="AA203" i="100" s="1"/>
  <c r="D202" i="100"/>
  <c r="I202" i="100" s="1"/>
  <c r="AC202" i="100" s="1"/>
  <c r="D201" i="100"/>
  <c r="I201" i="100" s="1"/>
  <c r="AC201" i="100" s="1"/>
  <c r="D200" i="100"/>
  <c r="AA200" i="100" s="1"/>
  <c r="D199" i="100"/>
  <c r="I199" i="100" s="1"/>
  <c r="AC199" i="100" s="1"/>
  <c r="D198" i="100"/>
  <c r="I198" i="100" s="1"/>
  <c r="AC198" i="100" s="1"/>
  <c r="D197" i="100"/>
  <c r="I197" i="100" s="1"/>
  <c r="AC197" i="100" s="1"/>
  <c r="L183" i="100"/>
  <c r="B18" i="63" s="1"/>
  <c r="N171" i="100"/>
  <c r="Q171" i="100"/>
  <c r="AB171" i="100"/>
  <c r="AD171" i="100"/>
  <c r="AE171" i="100"/>
  <c r="N172" i="100"/>
  <c r="Q172" i="100"/>
  <c r="AB172" i="100"/>
  <c r="AD172" i="100"/>
  <c r="AE172" i="100"/>
  <c r="N173" i="100"/>
  <c r="Q173" i="100"/>
  <c r="AB173" i="100"/>
  <c r="AD173" i="100"/>
  <c r="AE173" i="100"/>
  <c r="N174" i="100"/>
  <c r="Q174" i="100"/>
  <c r="AB174" i="100"/>
  <c r="AD174" i="100"/>
  <c r="AE174" i="100"/>
  <c r="N175" i="100"/>
  <c r="Q175" i="100"/>
  <c r="AB175" i="100"/>
  <c r="AD175" i="100"/>
  <c r="AE175" i="100"/>
  <c r="N176" i="100"/>
  <c r="Q176" i="100"/>
  <c r="AB176" i="100"/>
  <c r="AD176" i="100"/>
  <c r="AE176" i="100"/>
  <c r="N177" i="100"/>
  <c r="Q177" i="100"/>
  <c r="AB177" i="100"/>
  <c r="AD177" i="100"/>
  <c r="AE177" i="100"/>
  <c r="AE170" i="100"/>
  <c r="AD170" i="100"/>
  <c r="AB170" i="100"/>
  <c r="Q170" i="100"/>
  <c r="N170" i="100"/>
  <c r="AE169" i="100"/>
  <c r="AD169" i="100"/>
  <c r="AB169" i="100"/>
  <c r="Q169" i="100"/>
  <c r="N169" i="100"/>
  <c r="AE168" i="100"/>
  <c r="AD168" i="100"/>
  <c r="AB168" i="100"/>
  <c r="Q168" i="100"/>
  <c r="N168" i="100"/>
  <c r="D169" i="100"/>
  <c r="AA169" i="100" s="1"/>
  <c r="D170" i="100"/>
  <c r="I170" i="100" s="1"/>
  <c r="AC170" i="100" s="1"/>
  <c r="D171" i="100"/>
  <c r="I171" i="100" s="1"/>
  <c r="AC171" i="100" s="1"/>
  <c r="D172" i="100"/>
  <c r="AA172" i="100" s="1"/>
  <c r="D173" i="100"/>
  <c r="AA173" i="100" s="1"/>
  <c r="D174" i="100"/>
  <c r="I174" i="100" s="1"/>
  <c r="AC174" i="100" s="1"/>
  <c r="D175" i="100"/>
  <c r="AA175" i="100" s="1"/>
  <c r="D176" i="100"/>
  <c r="AA176" i="100" s="1"/>
  <c r="D177" i="100"/>
  <c r="AA177" i="100" s="1"/>
  <c r="D168" i="100"/>
  <c r="AA168" i="100" s="1"/>
  <c r="L163" i="100"/>
  <c r="L165" i="100" s="1"/>
  <c r="B17" i="63" s="1"/>
  <c r="N157" i="100"/>
  <c r="Q157" i="100"/>
  <c r="AB157" i="100"/>
  <c r="AD157" i="100"/>
  <c r="AE157" i="100"/>
  <c r="N158" i="100"/>
  <c r="Q158" i="100"/>
  <c r="AB158" i="100"/>
  <c r="AD158" i="100"/>
  <c r="AE158" i="100"/>
  <c r="N159" i="100"/>
  <c r="Q159" i="100"/>
  <c r="AB159" i="100"/>
  <c r="AD159" i="100"/>
  <c r="AE159" i="100"/>
  <c r="N160" i="100"/>
  <c r="Q160" i="100"/>
  <c r="AB160" i="100"/>
  <c r="AD160" i="100"/>
  <c r="AE160" i="100"/>
  <c r="N161" i="100"/>
  <c r="Q161" i="100"/>
  <c r="AB161" i="100"/>
  <c r="AD161" i="100"/>
  <c r="AE161" i="100"/>
  <c r="D161" i="100"/>
  <c r="I161" i="100" s="1"/>
  <c r="AC161" i="100" s="1"/>
  <c r="D160" i="100"/>
  <c r="I160" i="100" s="1"/>
  <c r="AC160" i="100" s="1"/>
  <c r="D159" i="100"/>
  <c r="AA159" i="100" s="1"/>
  <c r="D158" i="100"/>
  <c r="I158" i="100" s="1"/>
  <c r="AC158" i="100" s="1"/>
  <c r="D157" i="100"/>
  <c r="I157" i="100" s="1"/>
  <c r="AC157" i="100" s="1"/>
  <c r="L152" i="100"/>
  <c r="B16" i="63" s="1"/>
  <c r="N140" i="100"/>
  <c r="Q140" i="100"/>
  <c r="AB140" i="100"/>
  <c r="AD140" i="100"/>
  <c r="AE140" i="100"/>
  <c r="N141" i="100"/>
  <c r="Q141" i="100"/>
  <c r="AB141" i="100"/>
  <c r="AD141" i="100"/>
  <c r="AE141" i="100"/>
  <c r="N142" i="100"/>
  <c r="Q142" i="100"/>
  <c r="AB142" i="100"/>
  <c r="AD142" i="100"/>
  <c r="AE142" i="100"/>
  <c r="N143" i="100"/>
  <c r="Q143" i="100"/>
  <c r="AB143" i="100"/>
  <c r="AD143" i="100"/>
  <c r="AE143" i="100"/>
  <c r="N144" i="100"/>
  <c r="Q144" i="100"/>
  <c r="AB144" i="100"/>
  <c r="AD144" i="100"/>
  <c r="AE144" i="100"/>
  <c r="N145" i="100"/>
  <c r="Q145" i="100"/>
  <c r="AB145" i="100"/>
  <c r="AD145" i="100"/>
  <c r="AE145" i="100"/>
  <c r="N146" i="100"/>
  <c r="Q146" i="100"/>
  <c r="AB146" i="100"/>
  <c r="AD146" i="100"/>
  <c r="AE146" i="100"/>
  <c r="D146" i="100"/>
  <c r="AA146" i="100" s="1"/>
  <c r="D145" i="100"/>
  <c r="AA145" i="100" s="1"/>
  <c r="D144" i="100"/>
  <c r="AA144" i="100" s="1"/>
  <c r="D143" i="100"/>
  <c r="AA143" i="100" s="1"/>
  <c r="D142" i="100"/>
  <c r="I142" i="100" s="1"/>
  <c r="AC142" i="100" s="1"/>
  <c r="D141" i="100"/>
  <c r="AA141" i="100" s="1"/>
  <c r="D140" i="100"/>
  <c r="AA140" i="100" s="1"/>
  <c r="N138" i="100"/>
  <c r="Q138" i="100"/>
  <c r="AB138" i="100"/>
  <c r="AD138" i="100"/>
  <c r="AE138" i="100"/>
  <c r="N139" i="100"/>
  <c r="Q139" i="100"/>
  <c r="AB139" i="100"/>
  <c r="AD139" i="100"/>
  <c r="AE139" i="100"/>
  <c r="D139" i="100"/>
  <c r="I139" i="100" s="1"/>
  <c r="AC139" i="100" s="1"/>
  <c r="D138" i="100"/>
  <c r="I138" i="100" s="1"/>
  <c r="AC138" i="100" s="1"/>
  <c r="AE130" i="100"/>
  <c r="AD130" i="100"/>
  <c r="AB130" i="100"/>
  <c r="Q130" i="100"/>
  <c r="N130" i="100"/>
  <c r="D130" i="100"/>
  <c r="I130" i="100" s="1"/>
  <c r="AC130" i="100" s="1"/>
  <c r="L125" i="100"/>
  <c r="L127" i="100" s="1"/>
  <c r="B15" i="63" s="1"/>
  <c r="N37" i="100"/>
  <c r="Q37" i="100"/>
  <c r="AB37" i="100"/>
  <c r="AD37" i="100"/>
  <c r="AE37" i="100"/>
  <c r="N38" i="100"/>
  <c r="Q38" i="100"/>
  <c r="AB38" i="100"/>
  <c r="AD38" i="100"/>
  <c r="AE38" i="100"/>
  <c r="N39" i="100"/>
  <c r="Q39" i="100"/>
  <c r="AB39" i="100"/>
  <c r="AD39" i="100"/>
  <c r="AE39" i="100"/>
  <c r="N40" i="100"/>
  <c r="Q40" i="100"/>
  <c r="AB40" i="100"/>
  <c r="AD40" i="100"/>
  <c r="AE40" i="100"/>
  <c r="N41" i="100"/>
  <c r="Q41" i="100"/>
  <c r="AB41" i="100"/>
  <c r="AD41" i="100"/>
  <c r="AE41" i="100"/>
  <c r="N42" i="100"/>
  <c r="Q42" i="100"/>
  <c r="AB42" i="100"/>
  <c r="AD42" i="100"/>
  <c r="AE42" i="100"/>
  <c r="N43" i="100"/>
  <c r="Q43" i="100"/>
  <c r="AB43" i="100"/>
  <c r="AD43" i="100"/>
  <c r="AE43" i="100"/>
  <c r="N44" i="100"/>
  <c r="Q44" i="100"/>
  <c r="AB44" i="100"/>
  <c r="AD44" i="100"/>
  <c r="AE44" i="100"/>
  <c r="N45" i="100"/>
  <c r="Q45" i="100"/>
  <c r="AB45" i="100"/>
  <c r="AD45" i="100"/>
  <c r="AE45" i="100"/>
  <c r="N46" i="100"/>
  <c r="Q46" i="100"/>
  <c r="AB46" i="100"/>
  <c r="AD46" i="100"/>
  <c r="AE46" i="100"/>
  <c r="N47" i="100"/>
  <c r="Q47" i="100"/>
  <c r="AB47" i="100"/>
  <c r="AD47" i="100"/>
  <c r="AE47" i="100"/>
  <c r="N48" i="100"/>
  <c r="Q48" i="100"/>
  <c r="AB48" i="100"/>
  <c r="AD48" i="100"/>
  <c r="AE48" i="100"/>
  <c r="N49" i="100"/>
  <c r="Q49" i="100"/>
  <c r="AB49" i="100"/>
  <c r="AD49" i="100"/>
  <c r="AE49" i="100"/>
  <c r="N50" i="100"/>
  <c r="Q50" i="100"/>
  <c r="AB50" i="100"/>
  <c r="AD50" i="100"/>
  <c r="AE50" i="100"/>
  <c r="N51" i="100"/>
  <c r="Q51" i="100"/>
  <c r="AB51" i="100"/>
  <c r="AD51" i="100"/>
  <c r="AE51" i="100"/>
  <c r="N52" i="100"/>
  <c r="Q52" i="100"/>
  <c r="AB52" i="100"/>
  <c r="AD52" i="100"/>
  <c r="AE52" i="100"/>
  <c r="N53" i="100"/>
  <c r="Q53" i="100"/>
  <c r="AB53" i="100"/>
  <c r="AD53" i="100"/>
  <c r="AE53" i="100"/>
  <c r="N54" i="100"/>
  <c r="Q54" i="100"/>
  <c r="AB54" i="100"/>
  <c r="AD54" i="100"/>
  <c r="AE54" i="100"/>
  <c r="N55" i="100"/>
  <c r="Q55" i="100"/>
  <c r="AB55" i="100"/>
  <c r="AD55" i="100"/>
  <c r="AE55" i="100"/>
  <c r="N56" i="100"/>
  <c r="Q56" i="100"/>
  <c r="AB56" i="100"/>
  <c r="AD56" i="100"/>
  <c r="AE56" i="100"/>
  <c r="N57" i="100"/>
  <c r="Q57" i="100"/>
  <c r="AB57" i="100"/>
  <c r="AD57" i="100"/>
  <c r="AE57" i="100"/>
  <c r="N58" i="100"/>
  <c r="Q58" i="100"/>
  <c r="AB58" i="100"/>
  <c r="AD58" i="100"/>
  <c r="AE58" i="100"/>
  <c r="N59" i="100"/>
  <c r="Q59" i="100"/>
  <c r="AB59" i="100"/>
  <c r="AD59" i="100"/>
  <c r="AE59" i="100"/>
  <c r="N60" i="100"/>
  <c r="Q60" i="100"/>
  <c r="AB60" i="100"/>
  <c r="AD60" i="100"/>
  <c r="AE60" i="100"/>
  <c r="N61" i="100"/>
  <c r="Q61" i="100"/>
  <c r="AB61" i="100"/>
  <c r="AD61" i="100"/>
  <c r="AE61" i="100"/>
  <c r="N62" i="100"/>
  <c r="Q62" i="100"/>
  <c r="AB62" i="100"/>
  <c r="AD62" i="100"/>
  <c r="AE62" i="100"/>
  <c r="N63" i="100"/>
  <c r="Q63" i="100"/>
  <c r="AB63" i="100"/>
  <c r="AD63" i="100"/>
  <c r="AE63" i="100"/>
  <c r="N64" i="100"/>
  <c r="Q64" i="100"/>
  <c r="AB64" i="100"/>
  <c r="AD64" i="100"/>
  <c r="AE64" i="100"/>
  <c r="N65" i="100"/>
  <c r="Q65" i="100"/>
  <c r="AB65" i="100"/>
  <c r="AD65" i="100"/>
  <c r="AE65" i="100"/>
  <c r="N66" i="100"/>
  <c r="Q66" i="100"/>
  <c r="AB66" i="100"/>
  <c r="AD66" i="100"/>
  <c r="AE66" i="100"/>
  <c r="N67" i="100"/>
  <c r="Q67" i="100"/>
  <c r="AB67" i="100"/>
  <c r="AD67" i="100"/>
  <c r="AE67" i="100"/>
  <c r="N68" i="100"/>
  <c r="Q68" i="100"/>
  <c r="AB68" i="100"/>
  <c r="AD68" i="100"/>
  <c r="AE68" i="100"/>
  <c r="N69" i="100"/>
  <c r="Q69" i="100"/>
  <c r="AB69" i="100"/>
  <c r="AD69" i="100"/>
  <c r="AE69" i="100"/>
  <c r="N70" i="100"/>
  <c r="Q70" i="100"/>
  <c r="AB70" i="100"/>
  <c r="AD70" i="100"/>
  <c r="AE70" i="100"/>
  <c r="N71" i="100"/>
  <c r="Q71" i="100"/>
  <c r="AB71" i="100"/>
  <c r="AD71" i="100"/>
  <c r="AE71" i="100"/>
  <c r="N72" i="100"/>
  <c r="Q72" i="100"/>
  <c r="AB72" i="100"/>
  <c r="AD72" i="100"/>
  <c r="AE72" i="100"/>
  <c r="N73" i="100"/>
  <c r="Q73" i="100"/>
  <c r="AB73" i="100"/>
  <c r="AD73" i="100"/>
  <c r="AE73" i="100"/>
  <c r="N74" i="100"/>
  <c r="Q74" i="100"/>
  <c r="AB74" i="100"/>
  <c r="AD74" i="100"/>
  <c r="AE74" i="100"/>
  <c r="N75" i="100"/>
  <c r="Q75" i="100"/>
  <c r="AB75" i="100"/>
  <c r="AD75" i="100"/>
  <c r="AE75" i="100"/>
  <c r="N76" i="100"/>
  <c r="Q76" i="100"/>
  <c r="AB76" i="100"/>
  <c r="AD76" i="100"/>
  <c r="AE76" i="100"/>
  <c r="N77" i="100"/>
  <c r="Q77" i="100"/>
  <c r="AB77" i="100"/>
  <c r="AD77" i="100"/>
  <c r="AE77" i="100"/>
  <c r="N78" i="100"/>
  <c r="Q78" i="100"/>
  <c r="AB78" i="100"/>
  <c r="AD78" i="100"/>
  <c r="AE78" i="100"/>
  <c r="N79" i="100"/>
  <c r="Q79" i="100"/>
  <c r="AB79" i="100"/>
  <c r="AD79" i="100"/>
  <c r="AE79" i="100"/>
  <c r="N80" i="100"/>
  <c r="Q80" i="100"/>
  <c r="AB80" i="100"/>
  <c r="AD80" i="100"/>
  <c r="AE80" i="100"/>
  <c r="N81" i="100"/>
  <c r="Q81" i="100"/>
  <c r="AB81" i="100"/>
  <c r="AD81" i="100"/>
  <c r="AE81" i="100"/>
  <c r="N82" i="100"/>
  <c r="Q82" i="100"/>
  <c r="AB82" i="100"/>
  <c r="AD82" i="100"/>
  <c r="AE82" i="100"/>
  <c r="N83" i="100"/>
  <c r="Q83" i="100"/>
  <c r="AB83" i="100"/>
  <c r="AD83" i="100"/>
  <c r="AE83" i="100"/>
  <c r="N84" i="100"/>
  <c r="Q84" i="100"/>
  <c r="AB84" i="100"/>
  <c r="AD84" i="100"/>
  <c r="AE84" i="100"/>
  <c r="N85" i="100"/>
  <c r="Q85" i="100"/>
  <c r="AB85" i="100"/>
  <c r="AD85" i="100"/>
  <c r="AE85" i="100"/>
  <c r="N86" i="100"/>
  <c r="Q86" i="100"/>
  <c r="AB86" i="100"/>
  <c r="AD86" i="100"/>
  <c r="AE86" i="100"/>
  <c r="N87" i="100"/>
  <c r="Q87" i="100"/>
  <c r="AB87" i="100"/>
  <c r="AD87" i="100"/>
  <c r="AE87" i="100"/>
  <c r="N88" i="100"/>
  <c r="Q88" i="100"/>
  <c r="AB88" i="100"/>
  <c r="AD88" i="100"/>
  <c r="AE88" i="100"/>
  <c r="N89" i="100"/>
  <c r="Q89" i="100"/>
  <c r="AB89" i="100"/>
  <c r="AD89" i="100"/>
  <c r="AE89" i="100"/>
  <c r="N90" i="100"/>
  <c r="Q90" i="100"/>
  <c r="AB90" i="100"/>
  <c r="AD90" i="100"/>
  <c r="AE90" i="100"/>
  <c r="N91" i="100"/>
  <c r="Q91" i="100"/>
  <c r="AB91" i="100"/>
  <c r="AD91" i="100"/>
  <c r="AE91" i="100"/>
  <c r="N92" i="100"/>
  <c r="Q92" i="100"/>
  <c r="AB92" i="100"/>
  <c r="AD92" i="100"/>
  <c r="AE92" i="100"/>
  <c r="N93" i="100"/>
  <c r="Q93" i="100"/>
  <c r="AB93" i="100"/>
  <c r="AD93" i="100"/>
  <c r="AE93" i="100"/>
  <c r="N94" i="100"/>
  <c r="Q94" i="100"/>
  <c r="AB94" i="100"/>
  <c r="AD94" i="100"/>
  <c r="AE94" i="100"/>
  <c r="N95" i="100"/>
  <c r="Q95" i="100"/>
  <c r="AB95" i="100"/>
  <c r="AD95" i="100"/>
  <c r="AE95" i="100"/>
  <c r="N96" i="100"/>
  <c r="Q96" i="100"/>
  <c r="AB96" i="100"/>
  <c r="AD96" i="100"/>
  <c r="AE96" i="100"/>
  <c r="N97" i="100"/>
  <c r="Q97" i="100"/>
  <c r="AB97" i="100"/>
  <c r="AD97" i="100"/>
  <c r="AE97" i="100"/>
  <c r="N98" i="100"/>
  <c r="Q98" i="100"/>
  <c r="AB98" i="100"/>
  <c r="AD98" i="100"/>
  <c r="AE98" i="100"/>
  <c r="N99" i="100"/>
  <c r="Q99" i="100"/>
  <c r="AB99" i="100"/>
  <c r="AD99" i="100"/>
  <c r="AE99" i="100"/>
  <c r="N100" i="100"/>
  <c r="Q100" i="100"/>
  <c r="AB100" i="100"/>
  <c r="AD100" i="100"/>
  <c r="AE100" i="100"/>
  <c r="N101" i="100"/>
  <c r="Q101" i="100"/>
  <c r="AB101" i="100"/>
  <c r="AD101" i="100"/>
  <c r="AE101" i="100"/>
  <c r="N102" i="100"/>
  <c r="Q102" i="100"/>
  <c r="AB102" i="100"/>
  <c r="AD102" i="100"/>
  <c r="AE102" i="100"/>
  <c r="N103" i="100"/>
  <c r="Q103" i="100"/>
  <c r="AB103" i="100"/>
  <c r="AD103" i="100"/>
  <c r="AE103" i="100"/>
  <c r="N104" i="100"/>
  <c r="Q104" i="100"/>
  <c r="AB104" i="100"/>
  <c r="AD104" i="100"/>
  <c r="AE104" i="100"/>
  <c r="N105" i="100"/>
  <c r="Q105" i="100"/>
  <c r="AB105" i="100"/>
  <c r="AD105" i="100"/>
  <c r="AE105" i="100"/>
  <c r="N106" i="100"/>
  <c r="Q106" i="100"/>
  <c r="AB106" i="100"/>
  <c r="AD106" i="100"/>
  <c r="AE106" i="100"/>
  <c r="N107" i="100"/>
  <c r="Q107" i="100"/>
  <c r="AB107" i="100"/>
  <c r="AD107" i="100"/>
  <c r="AE107" i="100"/>
  <c r="N108" i="100"/>
  <c r="Q108" i="100"/>
  <c r="AB108" i="100"/>
  <c r="AD108" i="100"/>
  <c r="AE108" i="100"/>
  <c r="N109" i="100"/>
  <c r="Q109" i="100"/>
  <c r="AB109" i="100"/>
  <c r="AD109" i="100"/>
  <c r="AE109" i="100"/>
  <c r="N110" i="100"/>
  <c r="Q110" i="100"/>
  <c r="AB110" i="100"/>
  <c r="AD110" i="100"/>
  <c r="AE110" i="100"/>
  <c r="N111" i="100"/>
  <c r="Q111" i="100"/>
  <c r="AB111" i="100"/>
  <c r="AD111" i="100"/>
  <c r="AE111" i="100"/>
  <c r="N112" i="100"/>
  <c r="Q112" i="100"/>
  <c r="AB112" i="100"/>
  <c r="AD112" i="100"/>
  <c r="AE112" i="100"/>
  <c r="N113" i="100"/>
  <c r="Q113" i="100"/>
  <c r="AB113" i="100"/>
  <c r="AD113" i="100"/>
  <c r="AE113" i="100"/>
  <c r="N114" i="100"/>
  <c r="Q114" i="100"/>
  <c r="AB114" i="100"/>
  <c r="AD114" i="100"/>
  <c r="AE114" i="100"/>
  <c r="N115" i="100"/>
  <c r="Q115" i="100"/>
  <c r="AB115" i="100"/>
  <c r="AD115" i="100"/>
  <c r="AE115" i="100"/>
  <c r="N116" i="100"/>
  <c r="Q116" i="100"/>
  <c r="AB116" i="100"/>
  <c r="AD116" i="100"/>
  <c r="AE116" i="100"/>
  <c r="N117" i="100"/>
  <c r="Q117" i="100"/>
  <c r="AB117" i="100"/>
  <c r="AD117" i="100"/>
  <c r="AE117" i="100"/>
  <c r="N118" i="100"/>
  <c r="Q118" i="100"/>
  <c r="AB118" i="100"/>
  <c r="AD118" i="100"/>
  <c r="AE118" i="100"/>
  <c r="N119" i="100"/>
  <c r="Q119" i="100"/>
  <c r="AB119" i="100"/>
  <c r="AD119" i="100"/>
  <c r="AE119" i="100"/>
  <c r="N120" i="100"/>
  <c r="Q120" i="100"/>
  <c r="AB120" i="100"/>
  <c r="AD120" i="100"/>
  <c r="AE120" i="100"/>
  <c r="N121" i="100"/>
  <c r="Q121" i="100"/>
  <c r="AB121" i="100"/>
  <c r="AD121" i="100"/>
  <c r="AE121" i="100"/>
  <c r="AE122" i="100"/>
  <c r="AD122" i="100"/>
  <c r="AB122" i="100"/>
  <c r="Q122" i="100"/>
  <c r="N122" i="100"/>
  <c r="D122" i="100"/>
  <c r="I122" i="100" s="1"/>
  <c r="AC122" i="100" s="1"/>
  <c r="D39" i="100"/>
  <c r="I39" i="100" s="1"/>
  <c r="AC39" i="100" s="1"/>
  <c r="D40" i="100"/>
  <c r="I40" i="100" s="1"/>
  <c r="AC40" i="100" s="1"/>
  <c r="D41" i="100"/>
  <c r="AA41" i="100" s="1"/>
  <c r="D42" i="100"/>
  <c r="I42" i="100" s="1"/>
  <c r="AC42" i="100" s="1"/>
  <c r="D43" i="100"/>
  <c r="I43" i="100" s="1"/>
  <c r="AC43" i="100" s="1"/>
  <c r="D44" i="100"/>
  <c r="I44" i="100" s="1"/>
  <c r="AC44" i="100" s="1"/>
  <c r="D45" i="100"/>
  <c r="I45" i="100" s="1"/>
  <c r="AC45" i="100" s="1"/>
  <c r="D46" i="100"/>
  <c r="I46" i="100" s="1"/>
  <c r="AC46" i="100" s="1"/>
  <c r="D47" i="100"/>
  <c r="AA47" i="100" s="1"/>
  <c r="D48" i="100"/>
  <c r="I48" i="100" s="1"/>
  <c r="AC48" i="100" s="1"/>
  <c r="D49" i="100"/>
  <c r="I49" i="100" s="1"/>
  <c r="AC49" i="100" s="1"/>
  <c r="D50" i="100"/>
  <c r="I50" i="100" s="1"/>
  <c r="AC50" i="100" s="1"/>
  <c r="D51" i="100"/>
  <c r="I51" i="100" s="1"/>
  <c r="AC51" i="100" s="1"/>
  <c r="D52" i="100"/>
  <c r="I52" i="100" s="1"/>
  <c r="AC52" i="100" s="1"/>
  <c r="D53" i="100"/>
  <c r="I53" i="100" s="1"/>
  <c r="AC53" i="100" s="1"/>
  <c r="D54" i="100"/>
  <c r="I54" i="100" s="1"/>
  <c r="AC54" i="100" s="1"/>
  <c r="D55" i="100"/>
  <c r="I55" i="100" s="1"/>
  <c r="AC55" i="100" s="1"/>
  <c r="D56" i="100"/>
  <c r="I56" i="100" s="1"/>
  <c r="AC56" i="100" s="1"/>
  <c r="D57" i="100"/>
  <c r="I57" i="100" s="1"/>
  <c r="AC57" i="100" s="1"/>
  <c r="D58" i="100"/>
  <c r="I58" i="100" s="1"/>
  <c r="AC58" i="100" s="1"/>
  <c r="D59" i="100"/>
  <c r="I59" i="100" s="1"/>
  <c r="AC59" i="100" s="1"/>
  <c r="D60" i="100"/>
  <c r="I60" i="100" s="1"/>
  <c r="AC60" i="100" s="1"/>
  <c r="D61" i="100"/>
  <c r="I61" i="100" s="1"/>
  <c r="AC61" i="100" s="1"/>
  <c r="D62" i="100"/>
  <c r="I62" i="100" s="1"/>
  <c r="AC62" i="100" s="1"/>
  <c r="D63" i="100"/>
  <c r="I63" i="100" s="1"/>
  <c r="AC63" i="100" s="1"/>
  <c r="D64" i="100"/>
  <c r="AA64" i="100" s="1"/>
  <c r="D65" i="100"/>
  <c r="I65" i="100" s="1"/>
  <c r="AC65" i="100" s="1"/>
  <c r="D66" i="100"/>
  <c r="I66" i="100" s="1"/>
  <c r="AC66" i="100" s="1"/>
  <c r="D67" i="100"/>
  <c r="I67" i="100" s="1"/>
  <c r="AC67" i="100" s="1"/>
  <c r="D68" i="100"/>
  <c r="I68" i="100" s="1"/>
  <c r="AC68" i="100" s="1"/>
  <c r="D69" i="100"/>
  <c r="I69" i="100" s="1"/>
  <c r="AC69" i="100" s="1"/>
  <c r="D70" i="100"/>
  <c r="I70" i="100" s="1"/>
  <c r="AC70" i="100" s="1"/>
  <c r="D71" i="100"/>
  <c r="I71" i="100" s="1"/>
  <c r="AC71" i="100" s="1"/>
  <c r="D72" i="100"/>
  <c r="I72" i="100" s="1"/>
  <c r="AC72" i="100" s="1"/>
  <c r="D73" i="100"/>
  <c r="I73" i="100" s="1"/>
  <c r="AC73" i="100" s="1"/>
  <c r="D74" i="100"/>
  <c r="I74" i="100" s="1"/>
  <c r="AC74" i="100" s="1"/>
  <c r="D75" i="100"/>
  <c r="I75" i="100" s="1"/>
  <c r="AC75" i="100" s="1"/>
  <c r="D76" i="100"/>
  <c r="I76" i="100" s="1"/>
  <c r="AC76" i="100" s="1"/>
  <c r="D77" i="100"/>
  <c r="I77" i="100" s="1"/>
  <c r="AC77" i="100" s="1"/>
  <c r="D78" i="100"/>
  <c r="I78" i="100" s="1"/>
  <c r="AC78" i="100" s="1"/>
  <c r="D79" i="100"/>
  <c r="I79" i="100" s="1"/>
  <c r="AC79" i="100" s="1"/>
  <c r="D80" i="100"/>
  <c r="I80" i="100" s="1"/>
  <c r="AC80" i="100" s="1"/>
  <c r="D81" i="100"/>
  <c r="I81" i="100" s="1"/>
  <c r="AC81" i="100" s="1"/>
  <c r="D82" i="100"/>
  <c r="AA82" i="100" s="1"/>
  <c r="D83" i="100"/>
  <c r="I83" i="100" s="1"/>
  <c r="AC83" i="100" s="1"/>
  <c r="D84" i="100"/>
  <c r="I84" i="100" s="1"/>
  <c r="AC84" i="100" s="1"/>
  <c r="D85" i="100"/>
  <c r="I85" i="100" s="1"/>
  <c r="AC85" i="100" s="1"/>
  <c r="D86" i="100"/>
  <c r="I86" i="100" s="1"/>
  <c r="AC86" i="100" s="1"/>
  <c r="D87" i="100"/>
  <c r="I87" i="100" s="1"/>
  <c r="AC87" i="100" s="1"/>
  <c r="D88" i="100"/>
  <c r="I88" i="100" s="1"/>
  <c r="AC88" i="100" s="1"/>
  <c r="D89" i="100"/>
  <c r="AA89" i="100" s="1"/>
  <c r="D90" i="100"/>
  <c r="I90" i="100" s="1"/>
  <c r="AC90" i="100" s="1"/>
  <c r="D91" i="100"/>
  <c r="I91" i="100" s="1"/>
  <c r="AC91" i="100" s="1"/>
  <c r="D92" i="100"/>
  <c r="I92" i="100" s="1"/>
  <c r="AC92" i="100" s="1"/>
  <c r="D93" i="100"/>
  <c r="I93" i="100" s="1"/>
  <c r="AC93" i="100" s="1"/>
  <c r="D94" i="100"/>
  <c r="I94" i="100" s="1"/>
  <c r="AC94" i="100" s="1"/>
  <c r="D95" i="100"/>
  <c r="I95" i="100" s="1"/>
  <c r="AC95" i="100" s="1"/>
  <c r="D96" i="100"/>
  <c r="I96" i="100" s="1"/>
  <c r="AC96" i="100" s="1"/>
  <c r="D97" i="100"/>
  <c r="I97" i="100" s="1"/>
  <c r="AC97" i="100" s="1"/>
  <c r="D98" i="100"/>
  <c r="I98" i="100" s="1"/>
  <c r="AC98" i="100" s="1"/>
  <c r="D99" i="100"/>
  <c r="I99" i="100" s="1"/>
  <c r="AC99" i="100" s="1"/>
  <c r="D100" i="100"/>
  <c r="AA100" i="100" s="1"/>
  <c r="D101" i="100"/>
  <c r="I101" i="100" s="1"/>
  <c r="AC101" i="100" s="1"/>
  <c r="D102" i="100"/>
  <c r="I102" i="100" s="1"/>
  <c r="AC102" i="100" s="1"/>
  <c r="D103" i="100"/>
  <c r="I103" i="100" s="1"/>
  <c r="AC103" i="100" s="1"/>
  <c r="D104" i="100"/>
  <c r="I104" i="100" s="1"/>
  <c r="AC104" i="100" s="1"/>
  <c r="D105" i="100"/>
  <c r="I105" i="100" s="1"/>
  <c r="AC105" i="100" s="1"/>
  <c r="D106" i="100"/>
  <c r="I106" i="100" s="1"/>
  <c r="AC106" i="100" s="1"/>
  <c r="D107" i="100"/>
  <c r="I107" i="100" s="1"/>
  <c r="AC107" i="100" s="1"/>
  <c r="D108" i="100"/>
  <c r="I108" i="100" s="1"/>
  <c r="AC108" i="100" s="1"/>
  <c r="D109" i="100"/>
  <c r="I109" i="100" s="1"/>
  <c r="AC109" i="100" s="1"/>
  <c r="D110" i="100"/>
  <c r="I110" i="100" s="1"/>
  <c r="AC110" i="100" s="1"/>
  <c r="D111" i="100"/>
  <c r="I111" i="100" s="1"/>
  <c r="AC111" i="100" s="1"/>
  <c r="D112" i="100"/>
  <c r="I112" i="100" s="1"/>
  <c r="AC112" i="100" s="1"/>
  <c r="D113" i="100"/>
  <c r="AA113" i="100" s="1"/>
  <c r="D114" i="100"/>
  <c r="I114" i="100" s="1"/>
  <c r="AC114" i="100" s="1"/>
  <c r="D115" i="100"/>
  <c r="I115" i="100" s="1"/>
  <c r="AC115" i="100" s="1"/>
  <c r="D116" i="100"/>
  <c r="I116" i="100" s="1"/>
  <c r="AC116" i="100" s="1"/>
  <c r="D117" i="100"/>
  <c r="I117" i="100" s="1"/>
  <c r="AC117" i="100" s="1"/>
  <c r="D118" i="100"/>
  <c r="AA118" i="100" s="1"/>
  <c r="D119" i="100"/>
  <c r="AA119" i="100" s="1"/>
  <c r="D120" i="100"/>
  <c r="I120" i="100" s="1"/>
  <c r="AC120" i="100" s="1"/>
  <c r="D121" i="100"/>
  <c r="I121" i="100" s="1"/>
  <c r="AC121" i="100" s="1"/>
  <c r="D38" i="100"/>
  <c r="AA38" i="100" s="1"/>
  <c r="AE382" i="100"/>
  <c r="AD382" i="100"/>
  <c r="AB382" i="100"/>
  <c r="Q382" i="100"/>
  <c r="N382" i="100"/>
  <c r="D382" i="100"/>
  <c r="AA382" i="100" s="1"/>
  <c r="AE381" i="100"/>
  <c r="AD381" i="100"/>
  <c r="AB381" i="100"/>
  <c r="Q381" i="100"/>
  <c r="N381" i="100"/>
  <c r="D381" i="100"/>
  <c r="I381" i="100" s="1"/>
  <c r="AC381" i="100" s="1"/>
  <c r="AE380" i="100"/>
  <c r="AD380" i="100"/>
  <c r="AB380" i="100"/>
  <c r="Q380" i="100"/>
  <c r="N380" i="100"/>
  <c r="D380" i="100"/>
  <c r="D37" i="100"/>
  <c r="AA37" i="100" s="1"/>
  <c r="AE36" i="100"/>
  <c r="AD36" i="100"/>
  <c r="AB36" i="100"/>
  <c r="Q36" i="100"/>
  <c r="N36" i="100"/>
  <c r="D36" i="100"/>
  <c r="I36" i="100" s="1"/>
  <c r="AC36" i="100" s="1"/>
  <c r="AE35" i="100"/>
  <c r="AD35" i="100"/>
  <c r="AB35" i="100"/>
  <c r="Q35" i="100"/>
  <c r="N35" i="100"/>
  <c r="D35" i="100"/>
  <c r="I35" i="100" s="1"/>
  <c r="AC35" i="100" s="1"/>
  <c r="AE34" i="100"/>
  <c r="AD34" i="100"/>
  <c r="AB34" i="100"/>
  <c r="Q34" i="100"/>
  <c r="N34" i="100"/>
  <c r="D34" i="100"/>
  <c r="I34" i="100" s="1"/>
  <c r="AC34" i="100" s="1"/>
  <c r="AE33" i="100"/>
  <c r="AD33" i="100"/>
  <c r="AB33" i="100"/>
  <c r="Q33" i="100"/>
  <c r="N33" i="100"/>
  <c r="D33" i="100"/>
  <c r="AA33" i="100" s="1"/>
  <c r="AE31" i="100"/>
  <c r="AD31" i="100"/>
  <c r="AB31" i="100"/>
  <c r="Q31" i="100"/>
  <c r="N31" i="100"/>
  <c r="D31" i="100"/>
  <c r="AE30" i="100"/>
  <c r="AD30" i="100"/>
  <c r="AB30" i="100"/>
  <c r="Q30" i="100"/>
  <c r="N30" i="100"/>
  <c r="D30" i="100"/>
  <c r="I30" i="100" s="1"/>
  <c r="AC30" i="100" s="1"/>
  <c r="AE29" i="100"/>
  <c r="AD29" i="100"/>
  <c r="AB29" i="100"/>
  <c r="Q29" i="100"/>
  <c r="N29" i="100"/>
  <c r="D29" i="100"/>
  <c r="I29" i="100" s="1"/>
  <c r="AC29" i="100" s="1"/>
  <c r="AE28" i="100"/>
  <c r="AD28" i="100"/>
  <c r="AB28" i="100"/>
  <c r="Q28" i="100"/>
  <c r="N28" i="100"/>
  <c r="D28" i="100"/>
  <c r="I28" i="100" s="1"/>
  <c r="AC28" i="100" s="1"/>
  <c r="AE27" i="100"/>
  <c r="AD27" i="100"/>
  <c r="AB27" i="100"/>
  <c r="Q27" i="100"/>
  <c r="N27" i="100"/>
  <c r="D27" i="100"/>
  <c r="AE26" i="100"/>
  <c r="AD26" i="100"/>
  <c r="AB26" i="100"/>
  <c r="Q26" i="100"/>
  <c r="N26" i="100"/>
  <c r="D26" i="100"/>
  <c r="I26" i="100" s="1"/>
  <c r="AC26" i="100" s="1"/>
  <c r="AE25" i="100"/>
  <c r="AD25" i="100"/>
  <c r="AB25" i="100"/>
  <c r="Q25" i="100"/>
  <c r="N25" i="100"/>
  <c r="D25" i="100"/>
  <c r="I25" i="100" s="1"/>
  <c r="AC25" i="100" s="1"/>
  <c r="AE24" i="100"/>
  <c r="AD24" i="100"/>
  <c r="AB24" i="100"/>
  <c r="Q24" i="100"/>
  <c r="N24" i="100"/>
  <c r="D24" i="100"/>
  <c r="I24" i="100" s="1"/>
  <c r="AC24" i="100" s="1"/>
  <c r="AE23" i="100"/>
  <c r="AD23" i="100"/>
  <c r="AB23" i="100"/>
  <c r="Q23" i="100"/>
  <c r="N23" i="100"/>
  <c r="D23" i="100"/>
  <c r="AA23" i="100" s="1"/>
  <c r="AE22" i="100"/>
  <c r="AD22" i="100"/>
  <c r="AB22" i="100"/>
  <c r="Q22" i="100"/>
  <c r="N22" i="100"/>
  <c r="D22" i="100"/>
  <c r="AE21" i="100"/>
  <c r="AD21" i="100"/>
  <c r="AB21" i="100"/>
  <c r="Q21" i="100"/>
  <c r="N21" i="100"/>
  <c r="D21" i="100"/>
  <c r="I21" i="100" s="1"/>
  <c r="AC21" i="100" s="1"/>
  <c r="AE20" i="100"/>
  <c r="AD20" i="100"/>
  <c r="AB20" i="100"/>
  <c r="Q20" i="100"/>
  <c r="N20" i="100"/>
  <c r="D20" i="100"/>
  <c r="I20" i="100" s="1"/>
  <c r="AC20" i="100" s="1"/>
  <c r="AE19" i="100"/>
  <c r="AD19" i="100"/>
  <c r="AB19" i="100"/>
  <c r="Q19" i="100"/>
  <c r="N19" i="100"/>
  <c r="D19" i="100"/>
  <c r="I19" i="100" s="1"/>
  <c r="AC19" i="100" s="1"/>
  <c r="AE18" i="100"/>
  <c r="AD18" i="100"/>
  <c r="AB18" i="100"/>
  <c r="Q18" i="100"/>
  <c r="N18" i="100"/>
  <c r="D18" i="100"/>
  <c r="AD17" i="100"/>
  <c r="AB17" i="100"/>
  <c r="Q17" i="100"/>
  <c r="N17" i="100"/>
  <c r="D17" i="100"/>
  <c r="I17" i="100" s="1"/>
  <c r="AC17" i="100" s="1"/>
  <c r="AE196" i="100"/>
  <c r="AD196" i="100"/>
  <c r="AB196" i="100"/>
  <c r="Q196" i="100"/>
  <c r="N196" i="100"/>
  <c r="D196" i="100"/>
  <c r="AE308" i="100"/>
  <c r="AD308" i="100"/>
  <c r="AB308" i="100"/>
  <c r="Q308" i="100"/>
  <c r="N308" i="100"/>
  <c r="D308" i="100"/>
  <c r="AA308" i="100" s="1"/>
  <c r="AE195" i="100"/>
  <c r="AD195" i="100"/>
  <c r="AB195" i="100"/>
  <c r="Q195" i="100"/>
  <c r="N195" i="100"/>
  <c r="D195" i="100"/>
  <c r="I195" i="100" s="1"/>
  <c r="AC195" i="100" s="1"/>
  <c r="AE194" i="100"/>
  <c r="AD194" i="100"/>
  <c r="AB194" i="100"/>
  <c r="Q194" i="100"/>
  <c r="N194" i="100"/>
  <c r="D194" i="100"/>
  <c r="AA194" i="100" s="1"/>
  <c r="AE193" i="100"/>
  <c r="AD193" i="100"/>
  <c r="AB193" i="100"/>
  <c r="Q193" i="100"/>
  <c r="N193" i="100"/>
  <c r="D193" i="100"/>
  <c r="I193" i="100" s="1"/>
  <c r="AC193" i="100" s="1"/>
  <c r="AE192" i="100"/>
  <c r="AD192" i="100"/>
  <c r="AB192" i="100"/>
  <c r="Q192" i="100"/>
  <c r="N192" i="100"/>
  <c r="D192" i="100"/>
  <c r="I192" i="100" s="1"/>
  <c r="AC192" i="100" s="1"/>
  <c r="AE191" i="100"/>
  <c r="AD191" i="100"/>
  <c r="AB191" i="100"/>
  <c r="Q191" i="100"/>
  <c r="N191" i="100"/>
  <c r="D191" i="100"/>
  <c r="AE190" i="100"/>
  <c r="AD190" i="100"/>
  <c r="AB190" i="100"/>
  <c r="Q190" i="100"/>
  <c r="N190" i="100"/>
  <c r="D190" i="100"/>
  <c r="AE189" i="100"/>
  <c r="AD189" i="100"/>
  <c r="AB189" i="100"/>
  <c r="Q189" i="100"/>
  <c r="N189" i="100"/>
  <c r="D189" i="100"/>
  <c r="I189" i="100" s="1"/>
  <c r="AC189" i="100" s="1"/>
  <c r="AE188" i="100"/>
  <c r="AD188" i="100"/>
  <c r="AB188" i="100"/>
  <c r="Q188" i="100"/>
  <c r="N188" i="100"/>
  <c r="D188" i="100"/>
  <c r="AA188" i="100" s="1"/>
  <c r="AE187" i="100"/>
  <c r="AD187" i="100"/>
  <c r="AB187" i="100"/>
  <c r="Q187" i="100"/>
  <c r="N187" i="100"/>
  <c r="D187" i="100"/>
  <c r="AA187" i="100" s="1"/>
  <c r="AE186" i="100"/>
  <c r="AD186" i="100"/>
  <c r="AB186" i="100"/>
  <c r="Q186" i="100"/>
  <c r="N186" i="100"/>
  <c r="D186" i="100"/>
  <c r="AA186" i="100" s="1"/>
  <c r="AE156" i="100"/>
  <c r="AD156" i="100"/>
  <c r="AB156" i="100"/>
  <c r="Q156" i="100"/>
  <c r="N156" i="100"/>
  <c r="D156" i="100"/>
  <c r="AA156" i="100" s="1"/>
  <c r="AE260" i="100"/>
  <c r="AD260" i="100"/>
  <c r="AB260" i="100"/>
  <c r="Q260" i="100"/>
  <c r="N260" i="100"/>
  <c r="D260" i="100"/>
  <c r="I260" i="100" s="1"/>
  <c r="AC260" i="100" s="1"/>
  <c r="AE226" i="100"/>
  <c r="AD226" i="100"/>
  <c r="AB226" i="100"/>
  <c r="Q226" i="100"/>
  <c r="N226" i="100"/>
  <c r="D226" i="100"/>
  <c r="I226" i="100" s="1"/>
  <c r="AC226" i="100" s="1"/>
  <c r="AE136" i="100"/>
  <c r="AD136" i="100"/>
  <c r="AB136" i="100"/>
  <c r="Q136" i="100"/>
  <c r="N136" i="100"/>
  <c r="D136" i="100"/>
  <c r="AA136" i="100" s="1"/>
  <c r="AE135" i="100"/>
  <c r="AD135" i="100"/>
  <c r="AB135" i="100"/>
  <c r="Q135" i="100"/>
  <c r="N135" i="100"/>
  <c r="D135" i="100"/>
  <c r="AA135" i="100" s="1"/>
  <c r="AE223" i="100"/>
  <c r="AD223" i="100"/>
  <c r="AB223" i="100"/>
  <c r="Q223" i="100"/>
  <c r="N223" i="100"/>
  <c r="D223" i="100"/>
  <c r="I223" i="100" s="1"/>
  <c r="AC223" i="100" s="1"/>
  <c r="AE222" i="100"/>
  <c r="AD222" i="100"/>
  <c r="AB222" i="100"/>
  <c r="Q222" i="100"/>
  <c r="N222" i="100"/>
  <c r="D222" i="100"/>
  <c r="AA222" i="100" s="1"/>
  <c r="AE155" i="100"/>
  <c r="AD155" i="100"/>
  <c r="AB155" i="100"/>
  <c r="Q155" i="100"/>
  <c r="N155" i="100"/>
  <c r="D155" i="100"/>
  <c r="I155" i="100" s="1"/>
  <c r="AC155" i="100" s="1"/>
  <c r="AE384" i="100"/>
  <c r="AD384" i="100"/>
  <c r="AB384" i="100"/>
  <c r="Q384" i="100"/>
  <c r="N384" i="100"/>
  <c r="D384" i="100"/>
  <c r="I384" i="100" s="1"/>
  <c r="AC384" i="100" s="1"/>
  <c r="AE137" i="100"/>
  <c r="AD137" i="100"/>
  <c r="AB137" i="100"/>
  <c r="Q137" i="100"/>
  <c r="N137" i="100"/>
  <c r="D137" i="100"/>
  <c r="AA137" i="100" s="1"/>
  <c r="AE225" i="100"/>
  <c r="AD225" i="100"/>
  <c r="AB225" i="100"/>
  <c r="Q225" i="100"/>
  <c r="N225" i="100"/>
  <c r="D225" i="100"/>
  <c r="I225" i="100" s="1"/>
  <c r="AC225" i="100" s="1"/>
  <c r="AE224" i="100"/>
  <c r="AD224" i="100"/>
  <c r="AB224" i="100"/>
  <c r="Q224" i="100"/>
  <c r="N224" i="100"/>
  <c r="D224" i="100"/>
  <c r="AA224" i="100" s="1"/>
  <c r="AE134" i="100"/>
  <c r="AD134" i="100"/>
  <c r="AB134" i="100"/>
  <c r="Q134" i="100"/>
  <c r="N134" i="100"/>
  <c r="D134" i="100"/>
  <c r="AA134" i="100" s="1"/>
  <c r="AE221" i="100"/>
  <c r="AD221" i="100"/>
  <c r="AB221" i="100"/>
  <c r="Q221" i="100"/>
  <c r="N221" i="100"/>
  <c r="D221" i="100"/>
  <c r="I221" i="100" s="1"/>
  <c r="AC221" i="100" s="1"/>
  <c r="AE220" i="100"/>
  <c r="AD220" i="100"/>
  <c r="AB220" i="100"/>
  <c r="Q220" i="100"/>
  <c r="N220" i="100"/>
  <c r="D220" i="100"/>
  <c r="AA220" i="100" s="1"/>
  <c r="AE246" i="100"/>
  <c r="AD246" i="100"/>
  <c r="AB246" i="100"/>
  <c r="Q246" i="100"/>
  <c r="N246" i="100"/>
  <c r="D246" i="100"/>
  <c r="AE245" i="100"/>
  <c r="AD245" i="100"/>
  <c r="AB245" i="100"/>
  <c r="Q245" i="100"/>
  <c r="N245" i="100"/>
  <c r="D245" i="100"/>
  <c r="I245" i="100" s="1"/>
  <c r="AC245" i="100" s="1"/>
  <c r="AE244" i="100"/>
  <c r="AD244" i="100"/>
  <c r="AB244" i="100"/>
  <c r="Q244" i="100"/>
  <c r="N244" i="100"/>
  <c r="D244" i="100"/>
  <c r="AA244" i="100" s="1"/>
  <c r="AE243" i="100"/>
  <c r="AD243" i="100"/>
  <c r="AB243" i="100"/>
  <c r="Q243" i="100"/>
  <c r="N243" i="100"/>
  <c r="D243" i="100"/>
  <c r="AE242" i="100"/>
  <c r="AD242" i="100"/>
  <c r="AB242" i="100"/>
  <c r="Q242" i="100"/>
  <c r="N242" i="100"/>
  <c r="D242" i="100"/>
  <c r="I242" i="100" s="1"/>
  <c r="AC242" i="100" s="1"/>
  <c r="AE241" i="100"/>
  <c r="AD241" i="100"/>
  <c r="AB241" i="100"/>
  <c r="Q241" i="100"/>
  <c r="N241" i="100"/>
  <c r="D241" i="100"/>
  <c r="AA241" i="100" s="1"/>
  <c r="AE240" i="100"/>
  <c r="AD240" i="100"/>
  <c r="AB240" i="100"/>
  <c r="Q240" i="100"/>
  <c r="N240" i="100"/>
  <c r="D240" i="100"/>
  <c r="AE239" i="100"/>
  <c r="AD239" i="100"/>
  <c r="AB239" i="100"/>
  <c r="Q239" i="100"/>
  <c r="N239" i="100"/>
  <c r="D239" i="100"/>
  <c r="I239" i="100" s="1"/>
  <c r="AC239" i="100" s="1"/>
  <c r="AE238" i="100"/>
  <c r="AD238" i="100"/>
  <c r="AB238" i="100"/>
  <c r="Q238" i="100"/>
  <c r="N238" i="100"/>
  <c r="D238" i="100"/>
  <c r="AA238" i="100" s="1"/>
  <c r="AE237" i="100"/>
  <c r="AD237" i="100"/>
  <c r="AB237" i="100"/>
  <c r="Q237" i="100"/>
  <c r="N237" i="100"/>
  <c r="D237" i="100"/>
  <c r="AE236" i="100"/>
  <c r="AD236" i="100"/>
  <c r="AB236" i="100"/>
  <c r="Q236" i="100"/>
  <c r="N236" i="100"/>
  <c r="D236" i="100"/>
  <c r="I236" i="100" s="1"/>
  <c r="AC236" i="100" s="1"/>
  <c r="AE235" i="100"/>
  <c r="AD235" i="100"/>
  <c r="AB235" i="100"/>
  <c r="Q235" i="100"/>
  <c r="N235" i="100"/>
  <c r="D235" i="100"/>
  <c r="AA235" i="100" s="1"/>
  <c r="AE234" i="100"/>
  <c r="AD234" i="100"/>
  <c r="AB234" i="100"/>
  <c r="Q234" i="100"/>
  <c r="N234" i="100"/>
  <c r="D234" i="100"/>
  <c r="AE233" i="100"/>
  <c r="AD233" i="100"/>
  <c r="AB233" i="100"/>
  <c r="Q233" i="100"/>
  <c r="N233" i="100"/>
  <c r="D233" i="100"/>
  <c r="I233" i="100" s="1"/>
  <c r="AC233" i="100" s="1"/>
  <c r="AE232" i="100"/>
  <c r="AD232" i="100"/>
  <c r="AB232" i="100"/>
  <c r="Q232" i="100"/>
  <c r="N232" i="100"/>
  <c r="D232" i="100"/>
  <c r="AA232" i="100" s="1"/>
  <c r="AE231" i="100"/>
  <c r="AD231" i="100"/>
  <c r="AB231" i="100"/>
  <c r="Q231" i="100"/>
  <c r="N231" i="100"/>
  <c r="D231" i="100"/>
  <c r="AE230" i="100"/>
  <c r="AD230" i="100"/>
  <c r="AB230" i="100"/>
  <c r="Q230" i="100"/>
  <c r="N230" i="100"/>
  <c r="D230" i="100"/>
  <c r="I230" i="100" s="1"/>
  <c r="AC230" i="100" s="1"/>
  <c r="AE229" i="100"/>
  <c r="AD229" i="100"/>
  <c r="AB229" i="100"/>
  <c r="Q229" i="100"/>
  <c r="N229" i="100"/>
  <c r="D229" i="100"/>
  <c r="AA229" i="100" s="1"/>
  <c r="AE228" i="100"/>
  <c r="AD228" i="100"/>
  <c r="AB228" i="100"/>
  <c r="Q228" i="100"/>
  <c r="N228" i="100"/>
  <c r="D228" i="100"/>
  <c r="AE227" i="100"/>
  <c r="AD227" i="100"/>
  <c r="AB227" i="100"/>
  <c r="Q227" i="100"/>
  <c r="N227" i="100"/>
  <c r="D227" i="100"/>
  <c r="I227" i="100" s="1"/>
  <c r="AC227" i="100" s="1"/>
  <c r="AE328" i="100"/>
  <c r="AD328" i="100"/>
  <c r="AB328" i="100"/>
  <c r="Q328" i="100"/>
  <c r="N328" i="100"/>
  <c r="D328" i="100"/>
  <c r="AA328" i="100" s="1"/>
  <c r="AE327" i="100"/>
  <c r="AD327" i="100"/>
  <c r="AB327" i="100"/>
  <c r="Q327" i="100"/>
  <c r="N327" i="100"/>
  <c r="D327" i="100"/>
  <c r="I327" i="100" s="1"/>
  <c r="AC327" i="100" s="1"/>
  <c r="AE330" i="100"/>
  <c r="AD330" i="100"/>
  <c r="AB330" i="100"/>
  <c r="Q330" i="100"/>
  <c r="N330" i="100"/>
  <c r="D330" i="100"/>
  <c r="AA330" i="100" s="1"/>
  <c r="AE326" i="100"/>
  <c r="AD326" i="100"/>
  <c r="AB326" i="100"/>
  <c r="Q326" i="100"/>
  <c r="N326" i="100"/>
  <c r="D326" i="100"/>
  <c r="I326" i="100" s="1"/>
  <c r="AC326" i="100" s="1"/>
  <c r="AD329" i="100"/>
  <c r="AB329" i="100"/>
  <c r="N329" i="100"/>
  <c r="D329" i="100"/>
  <c r="AA329" i="100" s="1"/>
  <c r="AD325" i="100"/>
  <c r="AB325" i="100"/>
  <c r="D325" i="100"/>
  <c r="AE324" i="100"/>
  <c r="AD324" i="100"/>
  <c r="AB324" i="100"/>
  <c r="Q324" i="100"/>
  <c r="N324" i="100"/>
  <c r="D324" i="100"/>
  <c r="AA324" i="100" s="1"/>
  <c r="AE323" i="100"/>
  <c r="AD323" i="100"/>
  <c r="AB323" i="100"/>
  <c r="Q323" i="100"/>
  <c r="N323" i="100"/>
  <c r="D323" i="100"/>
  <c r="AA323" i="100" s="1"/>
  <c r="AE322" i="100"/>
  <c r="AD322" i="100"/>
  <c r="AB322" i="100"/>
  <c r="Q322" i="100"/>
  <c r="N322" i="100"/>
  <c r="D322" i="100"/>
  <c r="AA322" i="100" s="1"/>
  <c r="AE321" i="100"/>
  <c r="AD321" i="100"/>
  <c r="AB321" i="100"/>
  <c r="Q321" i="100"/>
  <c r="N321" i="100"/>
  <c r="D321" i="100"/>
  <c r="I321" i="100" s="1"/>
  <c r="AC321" i="100" s="1"/>
  <c r="AE320" i="100"/>
  <c r="AD320" i="100"/>
  <c r="AB320" i="100"/>
  <c r="Q320" i="100"/>
  <c r="N320" i="100"/>
  <c r="D320" i="100"/>
  <c r="I320" i="100" s="1"/>
  <c r="AC320" i="100" s="1"/>
  <c r="AE319" i="100"/>
  <c r="AD319" i="100"/>
  <c r="AB319" i="100"/>
  <c r="Q319" i="100"/>
  <c r="N319" i="100"/>
  <c r="D319" i="100"/>
  <c r="AE318" i="100"/>
  <c r="AD318" i="100"/>
  <c r="AB318" i="100"/>
  <c r="Q318" i="100"/>
  <c r="N318" i="100"/>
  <c r="D318" i="100"/>
  <c r="AA318" i="100" s="1"/>
  <c r="AE317" i="100"/>
  <c r="AD317" i="100"/>
  <c r="AB317" i="100"/>
  <c r="Q317" i="100"/>
  <c r="N317" i="100"/>
  <c r="D317" i="100"/>
  <c r="AA317" i="100" s="1"/>
  <c r="AE316" i="100"/>
  <c r="AD316" i="100"/>
  <c r="AB316" i="100"/>
  <c r="Q316" i="100"/>
  <c r="N316" i="100"/>
  <c r="D316" i="100"/>
  <c r="AA316" i="100" s="1"/>
  <c r="AE315" i="100"/>
  <c r="AD315" i="100"/>
  <c r="AB315" i="100"/>
  <c r="Q315" i="100"/>
  <c r="N315" i="100"/>
  <c r="D315" i="100"/>
  <c r="AA315" i="100" s="1"/>
  <c r="AE314" i="100"/>
  <c r="AD314" i="100"/>
  <c r="AB314" i="100"/>
  <c r="Q314" i="100"/>
  <c r="N314" i="100"/>
  <c r="D314" i="100"/>
  <c r="AA314" i="100" s="1"/>
  <c r="AE313" i="100"/>
  <c r="AD313" i="100"/>
  <c r="AB313" i="100"/>
  <c r="Q313" i="100"/>
  <c r="N313" i="100"/>
  <c r="D313" i="100"/>
  <c r="AA313" i="100" s="1"/>
  <c r="AE312" i="100"/>
  <c r="AD312" i="100"/>
  <c r="AB312" i="100"/>
  <c r="Q312" i="100"/>
  <c r="N312" i="100"/>
  <c r="D312" i="100"/>
  <c r="I312" i="100" s="1"/>
  <c r="AC312" i="100" s="1"/>
  <c r="AE311" i="100"/>
  <c r="AD311" i="100"/>
  <c r="AB311" i="100"/>
  <c r="Q311" i="100"/>
  <c r="N311" i="100"/>
  <c r="D311" i="100"/>
  <c r="AA311" i="100" s="1"/>
  <c r="AE310" i="100"/>
  <c r="AD310" i="100"/>
  <c r="AB310" i="100"/>
  <c r="Q310" i="100"/>
  <c r="N310" i="100"/>
  <c r="D310" i="100"/>
  <c r="AE309" i="100"/>
  <c r="AD309" i="100"/>
  <c r="AB309" i="100"/>
  <c r="Q309" i="100"/>
  <c r="N309" i="100"/>
  <c r="D309" i="100"/>
  <c r="I309" i="100" s="1"/>
  <c r="AC309" i="100" s="1"/>
  <c r="AE307" i="100"/>
  <c r="AD307" i="100"/>
  <c r="AB307" i="100"/>
  <c r="Q307" i="100"/>
  <c r="N307" i="100"/>
  <c r="D307" i="100"/>
  <c r="AA307" i="100" s="1"/>
  <c r="AE306" i="100"/>
  <c r="AD306" i="100"/>
  <c r="AB306" i="100"/>
  <c r="Q306" i="100"/>
  <c r="N306" i="100"/>
  <c r="D306" i="100"/>
  <c r="AA306" i="100" s="1"/>
  <c r="AE305" i="100"/>
  <c r="AD305" i="100"/>
  <c r="AB305" i="100"/>
  <c r="Q305" i="100"/>
  <c r="N305" i="100"/>
  <c r="D305" i="100"/>
  <c r="AA305" i="100" s="1"/>
  <c r="AE304" i="100"/>
  <c r="AD304" i="100"/>
  <c r="AB304" i="100"/>
  <c r="Q304" i="100"/>
  <c r="N304" i="100"/>
  <c r="D304" i="100"/>
  <c r="AA304" i="100" s="1"/>
  <c r="AE303" i="100"/>
  <c r="AD303" i="100"/>
  <c r="AB303" i="100"/>
  <c r="Q303" i="100"/>
  <c r="N303" i="100"/>
  <c r="D303" i="100"/>
  <c r="AE302" i="100"/>
  <c r="AD302" i="100"/>
  <c r="AB302" i="100"/>
  <c r="Q302" i="100"/>
  <c r="N302" i="100"/>
  <c r="D302" i="100"/>
  <c r="I302" i="100" s="1"/>
  <c r="AC302" i="100" s="1"/>
  <c r="AE301" i="100"/>
  <c r="AD301" i="100"/>
  <c r="AB301" i="100"/>
  <c r="Q301" i="100"/>
  <c r="N301" i="100"/>
  <c r="D301" i="100"/>
  <c r="AA301" i="100" s="1"/>
  <c r="AE300" i="100"/>
  <c r="AD300" i="100"/>
  <c r="AB300" i="100"/>
  <c r="Q300" i="100"/>
  <c r="N300" i="100"/>
  <c r="D300" i="100"/>
  <c r="AE299" i="100"/>
  <c r="AD299" i="100"/>
  <c r="AB299" i="100"/>
  <c r="Q299" i="100"/>
  <c r="N299" i="100"/>
  <c r="D299" i="100"/>
  <c r="I299" i="100" s="1"/>
  <c r="AC299" i="100" s="1"/>
  <c r="AE298" i="100"/>
  <c r="AD298" i="100"/>
  <c r="AB298" i="100"/>
  <c r="Q298" i="100"/>
  <c r="N298" i="100"/>
  <c r="D298" i="100"/>
  <c r="AA298" i="100" s="1"/>
  <c r="AE297" i="100"/>
  <c r="AD297" i="100"/>
  <c r="AB297" i="100"/>
  <c r="Q297" i="100"/>
  <c r="N297" i="100"/>
  <c r="D297" i="100"/>
  <c r="AA297" i="100" s="1"/>
  <c r="AE296" i="100"/>
  <c r="AD296" i="100"/>
  <c r="AB296" i="100"/>
  <c r="Q296" i="100"/>
  <c r="N296" i="100"/>
  <c r="D296" i="100"/>
  <c r="AA296" i="100" s="1"/>
  <c r="AE295" i="100"/>
  <c r="AD295" i="100"/>
  <c r="AB295" i="100"/>
  <c r="Q295" i="100"/>
  <c r="N295" i="100"/>
  <c r="D295" i="100"/>
  <c r="AA295" i="100" s="1"/>
  <c r="AE294" i="100"/>
  <c r="AD294" i="100"/>
  <c r="AB294" i="100"/>
  <c r="Q294" i="100"/>
  <c r="N294" i="100"/>
  <c r="D294" i="100"/>
  <c r="AE293" i="100"/>
  <c r="AD293" i="100"/>
  <c r="AB293" i="100"/>
  <c r="Q293" i="100"/>
  <c r="N293" i="100"/>
  <c r="D293" i="100"/>
  <c r="I293" i="100" s="1"/>
  <c r="AC293" i="100" s="1"/>
  <c r="AE292" i="100"/>
  <c r="AD292" i="100"/>
  <c r="AB292" i="100"/>
  <c r="Q292" i="100"/>
  <c r="N292" i="100"/>
  <c r="D292" i="100"/>
  <c r="AE291" i="100"/>
  <c r="AD291" i="100"/>
  <c r="AB291" i="100"/>
  <c r="Q291" i="100"/>
  <c r="N291" i="100"/>
  <c r="D291" i="100"/>
  <c r="AA291" i="100" s="1"/>
  <c r="AE290" i="100"/>
  <c r="AD290" i="100"/>
  <c r="AB290" i="100"/>
  <c r="Q290" i="100"/>
  <c r="N290" i="100"/>
  <c r="D290" i="100"/>
  <c r="AA290" i="100" s="1"/>
  <c r="AE289" i="100"/>
  <c r="AD289" i="100"/>
  <c r="AB289" i="100"/>
  <c r="Q289" i="100"/>
  <c r="N289" i="100"/>
  <c r="D289" i="100"/>
  <c r="AA289" i="100" s="1"/>
  <c r="AE288" i="100"/>
  <c r="AD288" i="100"/>
  <c r="AB288" i="100"/>
  <c r="Q288" i="100"/>
  <c r="N288" i="100"/>
  <c r="D288" i="100"/>
  <c r="I288" i="100" s="1"/>
  <c r="AC288" i="100" s="1"/>
  <c r="AE287" i="100"/>
  <c r="AD287" i="100"/>
  <c r="AB287" i="100"/>
  <c r="Q287" i="100"/>
  <c r="N287" i="100"/>
  <c r="D287" i="100"/>
  <c r="AA287" i="100" s="1"/>
  <c r="AE286" i="100"/>
  <c r="AD286" i="100"/>
  <c r="AB286" i="100"/>
  <c r="Q286" i="100"/>
  <c r="N286" i="100"/>
  <c r="D286" i="100"/>
  <c r="AE285" i="100"/>
  <c r="AD285" i="100"/>
  <c r="AB285" i="100"/>
  <c r="Q285" i="100"/>
  <c r="N285" i="100"/>
  <c r="D285" i="100"/>
  <c r="I285" i="100" s="1"/>
  <c r="AC285" i="100" s="1"/>
  <c r="AE284" i="100"/>
  <c r="AD284" i="100"/>
  <c r="AB284" i="100"/>
  <c r="Q284" i="100"/>
  <c r="N284" i="100"/>
  <c r="D284" i="100"/>
  <c r="AA284" i="100" s="1"/>
  <c r="AE283" i="100"/>
  <c r="AD283" i="100"/>
  <c r="AB283" i="100"/>
  <c r="Q283" i="100"/>
  <c r="N283" i="100"/>
  <c r="D283" i="100"/>
  <c r="I283" i="100" s="1"/>
  <c r="AC283" i="100" s="1"/>
  <c r="AE282" i="100"/>
  <c r="AD282" i="100"/>
  <c r="AB282" i="100"/>
  <c r="Q282" i="100"/>
  <c r="N282" i="100"/>
  <c r="D282" i="100"/>
  <c r="AA282" i="100" s="1"/>
  <c r="AE281" i="100"/>
  <c r="AD281" i="100"/>
  <c r="AB281" i="100"/>
  <c r="Q281" i="100"/>
  <c r="N281" i="100"/>
  <c r="D281" i="100"/>
  <c r="AA281" i="100" s="1"/>
  <c r="AE280" i="100"/>
  <c r="AD280" i="100"/>
  <c r="AB280" i="100"/>
  <c r="Q280" i="100"/>
  <c r="N280" i="100"/>
  <c r="D280" i="100"/>
  <c r="AA280" i="100" s="1"/>
  <c r="AE279" i="100"/>
  <c r="AD279" i="100"/>
  <c r="AB279" i="100"/>
  <c r="Q279" i="100"/>
  <c r="N279" i="100"/>
  <c r="D279" i="100"/>
  <c r="I279" i="100" s="1"/>
  <c r="AC279" i="100" s="1"/>
  <c r="AE278" i="100"/>
  <c r="AD278" i="100"/>
  <c r="AB278" i="100"/>
  <c r="Q278" i="100"/>
  <c r="N278" i="100"/>
  <c r="D278" i="100"/>
  <c r="AA278" i="100" s="1"/>
  <c r="AE277" i="100"/>
  <c r="AD277" i="100"/>
  <c r="AB277" i="100"/>
  <c r="Q277" i="100"/>
  <c r="N277" i="100"/>
  <c r="D277" i="100"/>
  <c r="I277" i="100" s="1"/>
  <c r="AC277" i="100" s="1"/>
  <c r="AE32" i="100"/>
  <c r="AD32" i="100"/>
  <c r="AB32" i="100"/>
  <c r="Q32" i="100"/>
  <c r="N32" i="100"/>
  <c r="D32" i="100"/>
  <c r="AA32" i="100" s="1"/>
  <c r="AE276" i="100"/>
  <c r="AD276" i="100"/>
  <c r="AB276" i="100"/>
  <c r="Q276" i="100"/>
  <c r="N276" i="100"/>
  <c r="D276" i="100"/>
  <c r="AE133" i="100"/>
  <c r="AD133" i="100"/>
  <c r="AB133" i="100"/>
  <c r="Q133" i="100"/>
  <c r="N133" i="100"/>
  <c r="D133" i="100"/>
  <c r="AA133" i="100" s="1"/>
  <c r="AE132" i="100"/>
  <c r="AD132" i="100"/>
  <c r="AB132" i="100"/>
  <c r="Q132" i="100"/>
  <c r="N132" i="100"/>
  <c r="D132" i="100"/>
  <c r="AA132" i="100" s="1"/>
  <c r="AE275" i="100"/>
  <c r="AD275" i="100"/>
  <c r="AB275" i="100"/>
  <c r="Q275" i="100"/>
  <c r="N275" i="100"/>
  <c r="D275" i="100"/>
  <c r="I275" i="100" s="1"/>
  <c r="AC275" i="100" s="1"/>
  <c r="AE274" i="100"/>
  <c r="AD274" i="100"/>
  <c r="AB274" i="100"/>
  <c r="Q274" i="100"/>
  <c r="N274" i="100"/>
  <c r="D274" i="100"/>
  <c r="AA274" i="100" s="1"/>
  <c r="AE273" i="100"/>
  <c r="AD273" i="100"/>
  <c r="AB273" i="100"/>
  <c r="Q273" i="100"/>
  <c r="N273" i="100"/>
  <c r="D273" i="100"/>
  <c r="AA273" i="100" s="1"/>
  <c r="AE272" i="100"/>
  <c r="AD272" i="100"/>
  <c r="AB272" i="100"/>
  <c r="Q272" i="100"/>
  <c r="N272" i="100"/>
  <c r="D272" i="100"/>
  <c r="AA272" i="100" s="1"/>
  <c r="AE271" i="100"/>
  <c r="AD271" i="100"/>
  <c r="AB271" i="100"/>
  <c r="Q271" i="100"/>
  <c r="N271" i="100"/>
  <c r="D271" i="100"/>
  <c r="I271" i="100" s="1"/>
  <c r="AC271" i="100" s="1"/>
  <c r="AE270" i="100"/>
  <c r="AD270" i="100"/>
  <c r="AB270" i="100"/>
  <c r="Q270" i="100"/>
  <c r="N270" i="100"/>
  <c r="D270" i="100"/>
  <c r="I270" i="100" s="1"/>
  <c r="AC270" i="100" s="1"/>
  <c r="AE269" i="100"/>
  <c r="AD269" i="100"/>
  <c r="AB269" i="100"/>
  <c r="Q269" i="100"/>
  <c r="N269" i="100"/>
  <c r="D269" i="100"/>
  <c r="AA269" i="100" s="1"/>
  <c r="AE268" i="100"/>
  <c r="AD268" i="100"/>
  <c r="AB268" i="100"/>
  <c r="Q268" i="100"/>
  <c r="N268" i="100"/>
  <c r="D268" i="100"/>
  <c r="AE267" i="100"/>
  <c r="AD267" i="100"/>
  <c r="AB267" i="100"/>
  <c r="Q267" i="100"/>
  <c r="N267" i="100"/>
  <c r="D267" i="100"/>
  <c r="AA267" i="100" s="1"/>
  <c r="AE131" i="100"/>
  <c r="AD131" i="100"/>
  <c r="AB131" i="100"/>
  <c r="Q131" i="100"/>
  <c r="N131" i="100"/>
  <c r="D131" i="100"/>
  <c r="B5" i="100"/>
  <c r="U39" i="49"/>
  <c r="P39" i="49"/>
  <c r="J48" i="98"/>
  <c r="K45" i="98"/>
  <c r="K44" i="98"/>
  <c r="K42" i="98"/>
  <c r="K40" i="98"/>
  <c r="K37" i="98"/>
  <c r="K35" i="98"/>
  <c r="K32" i="98"/>
  <c r="K31" i="98"/>
  <c r="K29" i="98"/>
  <c r="K25" i="98"/>
  <c r="K23" i="98"/>
  <c r="L21" i="98"/>
  <c r="L20" i="98"/>
  <c r="K19" i="98"/>
  <c r="K17" i="98"/>
  <c r="K15" i="98"/>
  <c r="K13" i="98"/>
  <c r="M12" i="98"/>
  <c r="M12" i="99" s="1"/>
  <c r="M13" i="99" s="1"/>
  <c r="P13" i="99" s="1"/>
  <c r="M13" i="98"/>
  <c r="K11" i="98"/>
  <c r="A1" i="98"/>
  <c r="A1" i="99"/>
  <c r="A1" i="97"/>
  <c r="A1" i="96"/>
  <c r="L55" i="17"/>
  <c r="L28" i="17"/>
  <c r="K46" i="98" l="1"/>
  <c r="L46" i="98"/>
  <c r="N215" i="100"/>
  <c r="Q215" i="100"/>
  <c r="N150" i="100"/>
  <c r="N181" i="100"/>
  <c r="N375" i="100"/>
  <c r="N377" i="100" s="1"/>
  <c r="D21" i="63" s="1"/>
  <c r="I371" i="100"/>
  <c r="AC371" i="100" s="1"/>
  <c r="P371" i="100" s="1"/>
  <c r="AA370" i="100"/>
  <c r="U370" i="100" s="1"/>
  <c r="U371" i="100"/>
  <c r="Q386" i="100"/>
  <c r="Q388" i="100" s="1"/>
  <c r="AA369" i="100"/>
  <c r="P369" i="100" s="1"/>
  <c r="R369" i="100" s="1"/>
  <c r="O371" i="100"/>
  <c r="O137" i="100"/>
  <c r="O26" i="100"/>
  <c r="O52" i="100"/>
  <c r="O300" i="100"/>
  <c r="O328" i="100"/>
  <c r="O193" i="100"/>
  <c r="O140" i="100"/>
  <c r="Z140" i="100" s="1"/>
  <c r="O199" i="100"/>
  <c r="O131" i="100"/>
  <c r="O105" i="100"/>
  <c r="O357" i="100"/>
  <c r="O133" i="100"/>
  <c r="Z133" i="100" s="1"/>
  <c r="O294" i="100"/>
  <c r="O243" i="100"/>
  <c r="O248" i="100"/>
  <c r="Z248" i="100" s="1"/>
  <c r="O280" i="100"/>
  <c r="Z280" i="100" s="1"/>
  <c r="O246" i="100"/>
  <c r="O266" i="100"/>
  <c r="O283" i="100"/>
  <c r="O324" i="100"/>
  <c r="O229" i="100"/>
  <c r="O85" i="100"/>
  <c r="O289" i="100"/>
  <c r="O310" i="100"/>
  <c r="O108" i="100"/>
  <c r="O58" i="100"/>
  <c r="O24" i="100"/>
  <c r="O276" i="100"/>
  <c r="O101" i="100"/>
  <c r="O51" i="100"/>
  <c r="O41" i="100"/>
  <c r="Z41" i="100" s="1"/>
  <c r="O247" i="100"/>
  <c r="Z247" i="100" s="1"/>
  <c r="O319" i="100"/>
  <c r="O30" i="100"/>
  <c r="O44" i="100"/>
  <c r="O250" i="100"/>
  <c r="Z250" i="100" s="1"/>
  <c r="O304" i="100"/>
  <c r="O196" i="100"/>
  <c r="O142" i="100"/>
  <c r="O287" i="100"/>
  <c r="O233" i="100"/>
  <c r="O384" i="100"/>
  <c r="O19" i="100"/>
  <c r="O380" i="100"/>
  <c r="O117" i="100"/>
  <c r="O107" i="100"/>
  <c r="O97" i="100"/>
  <c r="O87" i="100"/>
  <c r="O77" i="100"/>
  <c r="O67" i="100"/>
  <c r="O57" i="100"/>
  <c r="O47" i="100"/>
  <c r="Z47" i="100" s="1"/>
  <c r="O37" i="100"/>
  <c r="O174" i="100"/>
  <c r="O253" i="100"/>
  <c r="Z253" i="100" s="1"/>
  <c r="O359" i="100"/>
  <c r="O349" i="100"/>
  <c r="O339" i="100"/>
  <c r="O273" i="100"/>
  <c r="Z273" i="100" s="1"/>
  <c r="O290" i="100"/>
  <c r="O311" i="100"/>
  <c r="O236" i="100"/>
  <c r="O223" i="100"/>
  <c r="O22" i="100"/>
  <c r="O145" i="100"/>
  <c r="O158" i="100"/>
  <c r="O204" i="100"/>
  <c r="O325" i="100"/>
  <c r="O132" i="100"/>
  <c r="Z132" i="100" s="1"/>
  <c r="O293" i="100"/>
  <c r="O314" i="100"/>
  <c r="O239" i="100"/>
  <c r="O226" i="100"/>
  <c r="O186" i="100"/>
  <c r="Z186" i="100"/>
  <c r="O25" i="100"/>
  <c r="O120" i="100"/>
  <c r="O110" i="100"/>
  <c r="O100" i="100"/>
  <c r="Z100" i="100" s="1"/>
  <c r="O90" i="100"/>
  <c r="O80" i="100"/>
  <c r="O70" i="100"/>
  <c r="O60" i="100"/>
  <c r="O50" i="100"/>
  <c r="O40" i="100"/>
  <c r="O138" i="100"/>
  <c r="O177" i="100"/>
  <c r="O362" i="100"/>
  <c r="O352" i="100"/>
  <c r="Z352" i="100" s="1"/>
  <c r="O342" i="100"/>
  <c r="O332" i="100"/>
  <c r="O18" i="100"/>
  <c r="O202" i="100"/>
  <c r="O272" i="100"/>
  <c r="Z272" i="100" s="1"/>
  <c r="O118" i="100"/>
  <c r="Z118" i="100"/>
  <c r="O98" i="100"/>
  <c r="O78" i="100"/>
  <c r="O68" i="100"/>
  <c r="O48" i="100"/>
  <c r="O38" i="100"/>
  <c r="Z38" i="100" s="1"/>
  <c r="O360" i="100"/>
  <c r="O350" i="100"/>
  <c r="O340" i="100"/>
  <c r="O316" i="100"/>
  <c r="O188" i="100"/>
  <c r="O121" i="100"/>
  <c r="O91" i="100"/>
  <c r="O81" i="100"/>
  <c r="O71" i="100"/>
  <c r="O139" i="100"/>
  <c r="O363" i="100"/>
  <c r="O353" i="100"/>
  <c r="O343" i="100"/>
  <c r="O244" i="100"/>
  <c r="O104" i="100"/>
  <c r="O94" i="100"/>
  <c r="O84" i="100"/>
  <c r="O74" i="100"/>
  <c r="O54" i="100"/>
  <c r="O210" i="100"/>
  <c r="O356" i="100"/>
  <c r="O346" i="100"/>
  <c r="O201" i="100"/>
  <c r="O270" i="100"/>
  <c r="O307" i="100"/>
  <c r="O296" i="100"/>
  <c r="O189" i="100"/>
  <c r="O28" i="100"/>
  <c r="O130" i="100"/>
  <c r="O161" i="100"/>
  <c r="O209" i="100"/>
  <c r="O249" i="100"/>
  <c r="O355" i="100"/>
  <c r="Z355" i="100" s="1"/>
  <c r="O345" i="100"/>
  <c r="O335" i="100"/>
  <c r="O282" i="100"/>
  <c r="Z282" i="100" s="1"/>
  <c r="O302" i="100"/>
  <c r="O323" i="100"/>
  <c r="O228" i="100"/>
  <c r="O221" i="100"/>
  <c r="O195" i="100"/>
  <c r="O35" i="100"/>
  <c r="O122" i="100"/>
  <c r="O141" i="100"/>
  <c r="Z141" i="100"/>
  <c r="O169" i="100"/>
  <c r="Z169" i="100" s="1"/>
  <c r="O200" i="100"/>
  <c r="Z200" i="100" s="1"/>
  <c r="O264" i="100"/>
  <c r="O370" i="100"/>
  <c r="O240" i="100"/>
  <c r="O318" i="100"/>
  <c r="O29" i="100"/>
  <c r="O354" i="100"/>
  <c r="O344" i="100"/>
  <c r="O21" i="100"/>
  <c r="O382" i="100"/>
  <c r="O292" i="100"/>
  <c r="O313" i="100"/>
  <c r="O159" i="100"/>
  <c r="Z159" i="100" s="1"/>
  <c r="O205" i="100"/>
  <c r="O383" i="100"/>
  <c r="O241" i="100"/>
  <c r="O27" i="100"/>
  <c r="O298" i="100"/>
  <c r="O191" i="100"/>
  <c r="O227" i="100"/>
  <c r="O114" i="100"/>
  <c r="O64" i="100"/>
  <c r="Z64" i="100" s="1"/>
  <c r="O171" i="100"/>
  <c r="O265" i="100"/>
  <c r="O336" i="100"/>
  <c r="O224" i="100"/>
  <c r="O369" i="100"/>
  <c r="O320" i="100"/>
  <c r="O83" i="100"/>
  <c r="O73" i="100"/>
  <c r="O63" i="100"/>
  <c r="O268" i="100"/>
  <c r="O285" i="100"/>
  <c r="O305" i="100"/>
  <c r="O231" i="100"/>
  <c r="O225" i="100"/>
  <c r="O17" i="100"/>
  <c r="O116" i="100"/>
  <c r="O106" i="100"/>
  <c r="O96" i="100"/>
  <c r="O86" i="100"/>
  <c r="O76" i="100"/>
  <c r="O66" i="100"/>
  <c r="O56" i="100"/>
  <c r="O46" i="100"/>
  <c r="O173" i="100"/>
  <c r="Z173" i="100" s="1"/>
  <c r="O261" i="100"/>
  <c r="O252" i="100"/>
  <c r="O358" i="100"/>
  <c r="O348" i="100"/>
  <c r="O338" i="100"/>
  <c r="O277" i="100"/>
  <c r="O297" i="100"/>
  <c r="O326" i="100"/>
  <c r="O112" i="100"/>
  <c r="O102" i="100"/>
  <c r="O92" i="100"/>
  <c r="O82" i="100"/>
  <c r="Z82" i="100" s="1"/>
  <c r="O72" i="100"/>
  <c r="O62" i="100"/>
  <c r="O42" i="100"/>
  <c r="O334" i="100"/>
  <c r="O134" i="100"/>
  <c r="O308" i="100"/>
  <c r="O36" i="100"/>
  <c r="O115" i="100"/>
  <c r="O95" i="100"/>
  <c r="O75" i="100"/>
  <c r="O65" i="100"/>
  <c r="O55" i="100"/>
  <c r="O45" i="100"/>
  <c r="O172" i="100"/>
  <c r="Z172" i="100" s="1"/>
  <c r="O211" i="100"/>
  <c r="O263" i="100"/>
  <c r="O251" i="100"/>
  <c r="Z251" i="100" s="1"/>
  <c r="O347" i="100"/>
  <c r="O337" i="100"/>
  <c r="O269" i="100"/>
  <c r="Z269" i="100" s="1"/>
  <c r="O286" i="100"/>
  <c r="O143" i="100"/>
  <c r="Z143" i="100" s="1"/>
  <c r="O238" i="100"/>
  <c r="O136" i="100"/>
  <c r="O146" i="100"/>
  <c r="O61" i="100"/>
  <c r="O333" i="100"/>
  <c r="O278" i="100"/>
  <c r="Z278" i="100" s="1"/>
  <c r="O322" i="100"/>
  <c r="O220" i="100"/>
  <c r="O194" i="100"/>
  <c r="O34" i="100"/>
  <c r="O230" i="100"/>
  <c r="O32" i="100"/>
  <c r="Z32" i="100" s="1"/>
  <c r="O317" i="100"/>
  <c r="O207" i="100"/>
  <c r="O197" i="100"/>
  <c r="O299" i="100"/>
  <c r="O329" i="100"/>
  <c r="O245" i="100"/>
  <c r="O31" i="100"/>
  <c r="O113" i="100"/>
  <c r="Z113" i="100" s="1"/>
  <c r="O103" i="100"/>
  <c r="O93" i="100"/>
  <c r="O271" i="100"/>
  <c r="O288" i="100"/>
  <c r="O309" i="100"/>
  <c r="O234" i="100"/>
  <c r="O155" i="100"/>
  <c r="O20" i="100"/>
  <c r="O381" i="100"/>
  <c r="O144" i="100"/>
  <c r="Z144" i="100" s="1"/>
  <c r="O157" i="100"/>
  <c r="O203" i="100"/>
  <c r="Z203" i="100" s="1"/>
  <c r="O315" i="100"/>
  <c r="O187" i="100"/>
  <c r="O160" i="100"/>
  <c r="O206" i="100"/>
  <c r="Z206" i="100"/>
  <c r="O190" i="100"/>
  <c r="O321" i="100"/>
  <c r="O33" i="100"/>
  <c r="O170" i="100"/>
  <c r="O303" i="100"/>
  <c r="O306" i="100"/>
  <c r="O232" i="100"/>
  <c r="O235" i="100"/>
  <c r="O222" i="100"/>
  <c r="O88" i="100"/>
  <c r="O175" i="100"/>
  <c r="Z175" i="100" s="1"/>
  <c r="O275" i="100"/>
  <c r="O156" i="100"/>
  <c r="Z156" i="100" s="1"/>
  <c r="O295" i="100"/>
  <c r="O111" i="100"/>
  <c r="O330" i="100"/>
  <c r="O208" i="100"/>
  <c r="O198" i="100"/>
  <c r="O281" i="100"/>
  <c r="Z281" i="100" s="1"/>
  <c r="O301" i="100"/>
  <c r="O267" i="100"/>
  <c r="Z267" i="100" s="1"/>
  <c r="O284" i="100"/>
  <c r="Z284" i="100" s="1"/>
  <c r="O168" i="100"/>
  <c r="O262" i="100"/>
  <c r="Z262" i="100" s="1"/>
  <c r="O242" i="100"/>
  <c r="O279" i="100"/>
  <c r="O327" i="100"/>
  <c r="O192" i="100"/>
  <c r="O53" i="100"/>
  <c r="O43" i="100"/>
  <c r="O274" i="100"/>
  <c r="Z274" i="100" s="1"/>
  <c r="O291" i="100"/>
  <c r="O312" i="100"/>
  <c r="O237" i="100"/>
  <c r="O135" i="100"/>
  <c r="O23" i="100"/>
  <c r="Z23" i="100"/>
  <c r="O119" i="100"/>
  <c r="Z119" i="100" s="1"/>
  <c r="O109" i="100"/>
  <c r="O99" i="100"/>
  <c r="O89" i="100"/>
  <c r="Z89" i="100" s="1"/>
  <c r="O79" i="100"/>
  <c r="O69" i="100"/>
  <c r="O59" i="100"/>
  <c r="O49" i="100"/>
  <c r="O39" i="100"/>
  <c r="O176" i="100"/>
  <c r="Z176" i="100"/>
  <c r="O361" i="100"/>
  <c r="O351" i="100"/>
  <c r="O341" i="100"/>
  <c r="O331" i="100"/>
  <c r="AA368" i="100"/>
  <c r="P368" i="100" s="1"/>
  <c r="AA367" i="100"/>
  <c r="U367" i="100" s="1"/>
  <c r="O368" i="100"/>
  <c r="O367" i="100"/>
  <c r="N386" i="100"/>
  <c r="AA354" i="100"/>
  <c r="U354" i="100" s="1"/>
  <c r="I383" i="100"/>
  <c r="AC383" i="100" s="1"/>
  <c r="U383" i="100" s="1"/>
  <c r="L388" i="100"/>
  <c r="B22" i="63" s="1"/>
  <c r="AA363" i="100"/>
  <c r="U363" i="100" s="1"/>
  <c r="I334" i="100"/>
  <c r="AC334" i="100" s="1"/>
  <c r="I355" i="100"/>
  <c r="AC355" i="100" s="1"/>
  <c r="U355" i="100" s="1"/>
  <c r="I340" i="100"/>
  <c r="AC340" i="100" s="1"/>
  <c r="I358" i="100"/>
  <c r="AC358" i="100" s="1"/>
  <c r="AA353" i="100"/>
  <c r="U353" i="100" s="1"/>
  <c r="AA343" i="100"/>
  <c r="I361" i="100"/>
  <c r="AC361" i="100" s="1"/>
  <c r="AA360" i="100"/>
  <c r="U360" i="100" s="1"/>
  <c r="AA351" i="100"/>
  <c r="P351" i="100" s="1"/>
  <c r="R351" i="100" s="1"/>
  <c r="I346" i="100"/>
  <c r="AC346" i="100" s="1"/>
  <c r="AA359" i="100"/>
  <c r="U359" i="100" s="1"/>
  <c r="AA348" i="100"/>
  <c r="AA342" i="100"/>
  <c r="I332" i="100"/>
  <c r="AC332" i="100" s="1"/>
  <c r="I349" i="100"/>
  <c r="AC349" i="100" s="1"/>
  <c r="AA357" i="100"/>
  <c r="U357" i="100" s="1"/>
  <c r="AA347" i="100"/>
  <c r="I337" i="100"/>
  <c r="AC337" i="100" s="1"/>
  <c r="I352" i="100"/>
  <c r="AC352" i="100" s="1"/>
  <c r="U352" i="100" s="1"/>
  <c r="I333" i="100"/>
  <c r="AC333" i="100" s="1"/>
  <c r="I339" i="100"/>
  <c r="AC339" i="100" s="1"/>
  <c r="I345" i="100"/>
  <c r="AC345" i="100" s="1"/>
  <c r="I344" i="100"/>
  <c r="AC344" i="100" s="1"/>
  <c r="I356" i="100"/>
  <c r="AC356" i="100" s="1"/>
  <c r="AA362" i="100"/>
  <c r="U362" i="100" s="1"/>
  <c r="AA350" i="100"/>
  <c r="U350" i="100" s="1"/>
  <c r="AA338" i="100"/>
  <c r="AA336" i="100"/>
  <c r="I335" i="100"/>
  <c r="AC335" i="100" s="1"/>
  <c r="I341" i="100"/>
  <c r="AC341" i="100" s="1"/>
  <c r="I331" i="100"/>
  <c r="AC331" i="100" s="1"/>
  <c r="AA252" i="100"/>
  <c r="P252" i="100" s="1"/>
  <c r="I253" i="100"/>
  <c r="AC253" i="100" s="1"/>
  <c r="P253" i="100" s="1"/>
  <c r="R253" i="100" s="1"/>
  <c r="I250" i="100"/>
  <c r="AC250" i="100" s="1"/>
  <c r="P250" i="100" s="1"/>
  <c r="I247" i="100"/>
  <c r="AC247" i="100" s="1"/>
  <c r="U247" i="100" s="1"/>
  <c r="Q255" i="100"/>
  <c r="Q257" i="100" s="1"/>
  <c r="I248" i="100"/>
  <c r="AC248" i="100" s="1"/>
  <c r="P248" i="100" s="1"/>
  <c r="I251" i="100"/>
  <c r="AC251" i="100" s="1"/>
  <c r="P251" i="100" s="1"/>
  <c r="N255" i="100"/>
  <c r="N257" i="100" s="1"/>
  <c r="D20" i="63" s="1"/>
  <c r="AA249" i="100"/>
  <c r="U249" i="100" s="1"/>
  <c r="I262" i="100"/>
  <c r="AC262" i="100" s="1"/>
  <c r="U262" i="100" s="1"/>
  <c r="AA263" i="100"/>
  <c r="U263" i="100" s="1"/>
  <c r="I210" i="100"/>
  <c r="AC210" i="100" s="1"/>
  <c r="U210" i="100" s="1"/>
  <c r="AA265" i="100"/>
  <c r="P265" i="100" s="1"/>
  <c r="AA266" i="100"/>
  <c r="AA264" i="100"/>
  <c r="AA261" i="100"/>
  <c r="AA211" i="100"/>
  <c r="U211" i="100" s="1"/>
  <c r="Q217" i="100"/>
  <c r="I209" i="100"/>
  <c r="AC209" i="100" s="1"/>
  <c r="U209" i="100" s="1"/>
  <c r="N217" i="100"/>
  <c r="D19" i="63" s="1"/>
  <c r="I203" i="100"/>
  <c r="AC203" i="100" s="1"/>
  <c r="P203" i="100" s="1"/>
  <c r="AA198" i="100"/>
  <c r="AA204" i="100"/>
  <c r="U204" i="100" s="1"/>
  <c r="AA202" i="100"/>
  <c r="U202" i="100" s="1"/>
  <c r="AA208" i="100"/>
  <c r="U208" i="100" s="1"/>
  <c r="AA207" i="100"/>
  <c r="P207" i="100" s="1"/>
  <c r="R207" i="100" s="1"/>
  <c r="AA205" i="100"/>
  <c r="U205" i="100" s="1"/>
  <c r="AA201" i="100"/>
  <c r="P201" i="100" s="1"/>
  <c r="R201" i="100" s="1"/>
  <c r="AA199" i="100"/>
  <c r="U199" i="100" s="1"/>
  <c r="AA197" i="100"/>
  <c r="I200" i="100"/>
  <c r="AC200" i="100" s="1"/>
  <c r="U200" i="100" s="1"/>
  <c r="I206" i="100"/>
  <c r="AC206" i="100" s="1"/>
  <c r="U206" i="100" s="1"/>
  <c r="AA174" i="100"/>
  <c r="U174" i="100" s="1"/>
  <c r="I169" i="100"/>
  <c r="AC169" i="100" s="1"/>
  <c r="P169" i="100" s="1"/>
  <c r="I172" i="100"/>
  <c r="AC172" i="100" s="1"/>
  <c r="P172" i="100" s="1"/>
  <c r="R172" i="100" s="1"/>
  <c r="AA157" i="100"/>
  <c r="P157" i="100" s="1"/>
  <c r="R157" i="100" s="1"/>
  <c r="Q181" i="100"/>
  <c r="Q183" i="100" s="1"/>
  <c r="I173" i="100"/>
  <c r="AC173" i="100" s="1"/>
  <c r="U173" i="100" s="1"/>
  <c r="Q163" i="100"/>
  <c r="Q165" i="100" s="1"/>
  <c r="I176" i="100"/>
  <c r="AC176" i="100" s="1"/>
  <c r="P176" i="100" s="1"/>
  <c r="R176" i="100" s="1"/>
  <c r="AA170" i="100"/>
  <c r="U170" i="100" s="1"/>
  <c r="I177" i="100"/>
  <c r="AC177" i="100" s="1"/>
  <c r="U177" i="100" s="1"/>
  <c r="I168" i="100"/>
  <c r="AC168" i="100" s="1"/>
  <c r="U168" i="100" s="1"/>
  <c r="I175" i="100"/>
  <c r="AC175" i="100" s="1"/>
  <c r="P175" i="100" s="1"/>
  <c r="R175" i="100" s="1"/>
  <c r="AA171" i="100"/>
  <c r="U171" i="100" s="1"/>
  <c r="N183" i="100"/>
  <c r="D18" i="63" s="1"/>
  <c r="AA138" i="100"/>
  <c r="I159" i="100"/>
  <c r="AC159" i="100" s="1"/>
  <c r="U159" i="100" s="1"/>
  <c r="N163" i="100"/>
  <c r="N165" i="100" s="1"/>
  <c r="D17" i="63" s="1"/>
  <c r="AA160" i="100"/>
  <c r="P160" i="100" s="1"/>
  <c r="I146" i="100"/>
  <c r="AC146" i="100" s="1"/>
  <c r="AA161" i="100"/>
  <c r="P161" i="100" s="1"/>
  <c r="I140" i="100"/>
  <c r="AC140" i="100" s="1"/>
  <c r="P140" i="100" s="1"/>
  <c r="R140" i="100" s="1"/>
  <c r="AA158" i="100"/>
  <c r="P158" i="100" s="1"/>
  <c r="I141" i="100"/>
  <c r="AC141" i="100" s="1"/>
  <c r="U141" i="100" s="1"/>
  <c r="Q150" i="100"/>
  <c r="Q152" i="100" s="1"/>
  <c r="I143" i="100"/>
  <c r="AC143" i="100" s="1"/>
  <c r="U143" i="100" s="1"/>
  <c r="I144" i="100"/>
  <c r="AC144" i="100" s="1"/>
  <c r="U144" i="100" s="1"/>
  <c r="N152" i="100"/>
  <c r="D16" i="63" s="1"/>
  <c r="AA139" i="100"/>
  <c r="I145" i="100"/>
  <c r="AC145" i="100" s="1"/>
  <c r="AA142" i="100"/>
  <c r="U142" i="100" s="1"/>
  <c r="AA101" i="100"/>
  <c r="U101" i="100" s="1"/>
  <c r="I119" i="100"/>
  <c r="AC119" i="100" s="1"/>
  <c r="U119" i="100" s="1"/>
  <c r="AA130" i="100"/>
  <c r="P130" i="100" s="1"/>
  <c r="I89" i="100"/>
  <c r="AC89" i="100" s="1"/>
  <c r="P89" i="100" s="1"/>
  <c r="AA77" i="100"/>
  <c r="U77" i="100" s="1"/>
  <c r="I41" i="100"/>
  <c r="AC41" i="100" s="1"/>
  <c r="U41" i="100" s="1"/>
  <c r="AA112" i="100"/>
  <c r="P112" i="100" s="1"/>
  <c r="R112" i="100" s="1"/>
  <c r="AA59" i="100"/>
  <c r="U59" i="100" s="1"/>
  <c r="AA79" i="100"/>
  <c r="P79" i="100" s="1"/>
  <c r="AA95" i="100"/>
  <c r="U95" i="100" s="1"/>
  <c r="AA71" i="100"/>
  <c r="U71" i="100" s="1"/>
  <c r="AA115" i="100"/>
  <c r="P115" i="100" s="1"/>
  <c r="R115" i="100" s="1"/>
  <c r="AA88" i="100"/>
  <c r="P88" i="100" s="1"/>
  <c r="I64" i="100"/>
  <c r="AC64" i="100" s="1"/>
  <c r="U64" i="100" s="1"/>
  <c r="AA97" i="100"/>
  <c r="U97" i="100" s="1"/>
  <c r="Q125" i="100"/>
  <c r="Q127" i="100" s="1"/>
  <c r="AA54" i="100"/>
  <c r="U54" i="100" s="1"/>
  <c r="I47" i="100"/>
  <c r="AC47" i="100" s="1"/>
  <c r="P47" i="100" s="1"/>
  <c r="AA121" i="100"/>
  <c r="U121" i="100" s="1"/>
  <c r="AA117" i="100"/>
  <c r="P117" i="100" s="1"/>
  <c r="R117" i="100" s="1"/>
  <c r="AA107" i="100"/>
  <c r="P107" i="100" s="1"/>
  <c r="R107" i="100" s="1"/>
  <c r="AA99" i="100"/>
  <c r="P99" i="100" s="1"/>
  <c r="R99" i="100" s="1"/>
  <c r="AA94" i="100"/>
  <c r="P94" i="100" s="1"/>
  <c r="AA81" i="100"/>
  <c r="P81" i="100" s="1"/>
  <c r="R81" i="100" s="1"/>
  <c r="AA72" i="100"/>
  <c r="P72" i="100" s="1"/>
  <c r="AA65" i="100"/>
  <c r="U65" i="100" s="1"/>
  <c r="AA51" i="100"/>
  <c r="U51" i="100" s="1"/>
  <c r="AA66" i="100"/>
  <c r="U66" i="100" s="1"/>
  <c r="AA84" i="100"/>
  <c r="U84" i="100" s="1"/>
  <c r="I118" i="100"/>
  <c r="AC118" i="100" s="1"/>
  <c r="P118" i="100" s="1"/>
  <c r="AA108" i="100"/>
  <c r="U108" i="100" s="1"/>
  <c r="AA90" i="100"/>
  <c r="U90" i="100" s="1"/>
  <c r="AA83" i="100"/>
  <c r="U83" i="100" s="1"/>
  <c r="N125" i="100"/>
  <c r="N127" i="100" s="1"/>
  <c r="D15" i="63" s="1"/>
  <c r="AA92" i="100"/>
  <c r="U92" i="100" s="1"/>
  <c r="AA56" i="100"/>
  <c r="U56" i="100" s="1"/>
  <c r="I113" i="100"/>
  <c r="AC113" i="100" s="1"/>
  <c r="U113" i="100" s="1"/>
  <c r="AA106" i="100"/>
  <c r="U106" i="100" s="1"/>
  <c r="AA104" i="100"/>
  <c r="U104" i="100" s="1"/>
  <c r="AA102" i="100"/>
  <c r="P102" i="100" s="1"/>
  <c r="AA93" i="100"/>
  <c r="P93" i="100" s="1"/>
  <c r="AA87" i="100"/>
  <c r="U87" i="100" s="1"/>
  <c r="AA85" i="100"/>
  <c r="U85" i="100" s="1"/>
  <c r="AA78" i="100"/>
  <c r="AA76" i="100"/>
  <c r="U76" i="100" s="1"/>
  <c r="AA73" i="100"/>
  <c r="P73" i="100" s="1"/>
  <c r="R73" i="100" s="1"/>
  <c r="AA70" i="100"/>
  <c r="P70" i="100" s="1"/>
  <c r="AA67" i="100"/>
  <c r="U67" i="100" s="1"/>
  <c r="AA61" i="100"/>
  <c r="U61" i="100" s="1"/>
  <c r="AA58" i="100"/>
  <c r="U58" i="100" s="1"/>
  <c r="AA53" i="100"/>
  <c r="P53" i="100" s="1"/>
  <c r="R53" i="100" s="1"/>
  <c r="AA46" i="100"/>
  <c r="U46" i="100" s="1"/>
  <c r="AA43" i="100"/>
  <c r="P43" i="100" s="1"/>
  <c r="AA40" i="100"/>
  <c r="U40" i="100" s="1"/>
  <c r="AA68" i="100"/>
  <c r="P68" i="100" s="1"/>
  <c r="R68" i="100" s="1"/>
  <c r="AA62" i="100"/>
  <c r="P62" i="100" s="1"/>
  <c r="I82" i="100"/>
  <c r="AC82" i="100" s="1"/>
  <c r="U82" i="100" s="1"/>
  <c r="AA120" i="100"/>
  <c r="P120" i="100" s="1"/>
  <c r="R120" i="100" s="1"/>
  <c r="AA116" i="100"/>
  <c r="U116" i="100" s="1"/>
  <c r="AA114" i="100"/>
  <c r="U114" i="100" s="1"/>
  <c r="AA111" i="100"/>
  <c r="U111" i="100" s="1"/>
  <c r="AA96" i="100"/>
  <c r="P96" i="100" s="1"/>
  <c r="AA91" i="100"/>
  <c r="U91" i="100" s="1"/>
  <c r="AA80" i="100"/>
  <c r="P80" i="100" s="1"/>
  <c r="R80" i="100" s="1"/>
  <c r="AA48" i="100"/>
  <c r="U48" i="100" s="1"/>
  <c r="AA110" i="100"/>
  <c r="P110" i="100" s="1"/>
  <c r="R110" i="100" s="1"/>
  <c r="AA74" i="100"/>
  <c r="P74" i="100" s="1"/>
  <c r="AA49" i="100"/>
  <c r="P49" i="100" s="1"/>
  <c r="AA109" i="100"/>
  <c r="U109" i="100" s="1"/>
  <c r="AA98" i="100"/>
  <c r="U98" i="100" s="1"/>
  <c r="AA75" i="100"/>
  <c r="U75" i="100" s="1"/>
  <c r="AA69" i="100"/>
  <c r="P69" i="100" s="1"/>
  <c r="AA63" i="100"/>
  <c r="U63" i="100" s="1"/>
  <c r="AA60" i="100"/>
  <c r="P60" i="100" s="1"/>
  <c r="AA57" i="100"/>
  <c r="U57" i="100" s="1"/>
  <c r="AA55" i="100"/>
  <c r="P55" i="100" s="1"/>
  <c r="AA50" i="100"/>
  <c r="U50" i="100" s="1"/>
  <c r="AA45" i="100"/>
  <c r="U45" i="100" s="1"/>
  <c r="AA42" i="100"/>
  <c r="U42" i="100" s="1"/>
  <c r="AA39" i="100"/>
  <c r="U39" i="100" s="1"/>
  <c r="AA44" i="100"/>
  <c r="U44" i="100" s="1"/>
  <c r="I100" i="100"/>
  <c r="AC100" i="100" s="1"/>
  <c r="P100" i="100" s="1"/>
  <c r="AA105" i="100"/>
  <c r="P105" i="100" s="1"/>
  <c r="AA103" i="100"/>
  <c r="U103" i="100" s="1"/>
  <c r="AA86" i="100"/>
  <c r="P86" i="100" s="1"/>
  <c r="AA52" i="100"/>
  <c r="U52" i="100" s="1"/>
  <c r="AA122" i="100"/>
  <c r="I38" i="100"/>
  <c r="AC38" i="100" s="1"/>
  <c r="P38" i="100" s="1"/>
  <c r="AA19" i="100"/>
  <c r="P19" i="100" s="1"/>
  <c r="T19" i="100" s="1"/>
  <c r="I315" i="100"/>
  <c r="AC315" i="100" s="1"/>
  <c r="I269" i="100"/>
  <c r="AC269" i="100" s="1"/>
  <c r="P269" i="100" s="1"/>
  <c r="R269" i="100" s="1"/>
  <c r="I267" i="100"/>
  <c r="AC267" i="100" s="1"/>
  <c r="P267" i="100" s="1"/>
  <c r="I305" i="100"/>
  <c r="AC305" i="100" s="1"/>
  <c r="I136" i="100"/>
  <c r="AC136" i="100" s="1"/>
  <c r="I33" i="100"/>
  <c r="AC33" i="100" s="1"/>
  <c r="I274" i="100"/>
  <c r="AC274" i="100" s="1"/>
  <c r="P274" i="100" s="1"/>
  <c r="I318" i="100"/>
  <c r="AC318" i="100" s="1"/>
  <c r="AA260" i="100"/>
  <c r="P260" i="100" s="1"/>
  <c r="R260" i="100" s="1"/>
  <c r="AA270" i="100"/>
  <c r="U270" i="100" s="1"/>
  <c r="I296" i="100"/>
  <c r="AC296" i="100" s="1"/>
  <c r="I329" i="100"/>
  <c r="AC329" i="100" s="1"/>
  <c r="I224" i="100"/>
  <c r="AC224" i="100" s="1"/>
  <c r="I289" i="100"/>
  <c r="AC289" i="100" s="1"/>
  <c r="AA275" i="100"/>
  <c r="U275" i="100" s="1"/>
  <c r="AA277" i="100"/>
  <c r="U277" i="100" s="1"/>
  <c r="AA285" i="100"/>
  <c r="AA288" i="100"/>
  <c r="I306" i="100"/>
  <c r="AC306" i="100" s="1"/>
  <c r="AA312" i="100"/>
  <c r="I220" i="100"/>
  <c r="AC220" i="100" s="1"/>
  <c r="I287" i="100"/>
  <c r="AC287" i="100" s="1"/>
  <c r="I328" i="100"/>
  <c r="AC328" i="100" s="1"/>
  <c r="AA28" i="100"/>
  <c r="I187" i="100"/>
  <c r="AC187" i="100" s="1"/>
  <c r="AA195" i="100"/>
  <c r="AA21" i="100"/>
  <c r="U21" i="100" s="1"/>
  <c r="I317" i="100"/>
  <c r="AC317" i="100" s="1"/>
  <c r="I132" i="100"/>
  <c r="AC132" i="100" s="1"/>
  <c r="U132" i="100" s="1"/>
  <c r="AA283" i="100"/>
  <c r="I291" i="100"/>
  <c r="AC291" i="100" s="1"/>
  <c r="AA293" i="100"/>
  <c r="I316" i="100"/>
  <c r="AC316" i="100" s="1"/>
  <c r="I323" i="100"/>
  <c r="AC323" i="100" s="1"/>
  <c r="AA192" i="100"/>
  <c r="I194" i="100"/>
  <c r="AC194" i="100" s="1"/>
  <c r="AA34" i="100"/>
  <c r="AA189" i="100"/>
  <c r="I284" i="100"/>
  <c r="AC284" i="100" s="1"/>
  <c r="I298" i="100"/>
  <c r="AC298" i="100" s="1"/>
  <c r="AA271" i="100"/>
  <c r="U271" i="100" s="1"/>
  <c r="I295" i="100"/>
  <c r="AC295" i="100" s="1"/>
  <c r="AA302" i="100"/>
  <c r="I307" i="100"/>
  <c r="AC307" i="100" s="1"/>
  <c r="I314" i="100"/>
  <c r="AC314" i="100" s="1"/>
  <c r="AA320" i="100"/>
  <c r="AA155" i="100"/>
  <c r="P155" i="100" s="1"/>
  <c r="I135" i="100"/>
  <c r="AC135" i="100" s="1"/>
  <c r="AA226" i="100"/>
  <c r="I186" i="100"/>
  <c r="AC186" i="100" s="1"/>
  <c r="P186" i="100" s="1"/>
  <c r="I23" i="100"/>
  <c r="AC23" i="100" s="1"/>
  <c r="P23" i="100" s="1"/>
  <c r="R23" i="100" s="1"/>
  <c r="I32" i="100"/>
  <c r="AC32" i="100" s="1"/>
  <c r="U32" i="100" s="1"/>
  <c r="I308" i="100"/>
  <c r="AC308" i="100" s="1"/>
  <c r="I273" i="100"/>
  <c r="AC273" i="100" s="1"/>
  <c r="U273" i="100" s="1"/>
  <c r="I133" i="100"/>
  <c r="AC133" i="100" s="1"/>
  <c r="U133" i="100" s="1"/>
  <c r="AA279" i="100"/>
  <c r="U279" i="100" s="1"/>
  <c r="I304" i="100"/>
  <c r="AC304" i="100" s="1"/>
  <c r="I322" i="100"/>
  <c r="AC322" i="100" s="1"/>
  <c r="I232" i="100"/>
  <c r="AC232" i="100" s="1"/>
  <c r="I241" i="100"/>
  <c r="AC241" i="100" s="1"/>
  <c r="AA223" i="100"/>
  <c r="I282" i="100"/>
  <c r="AC282" i="100" s="1"/>
  <c r="I244" i="100"/>
  <c r="AC244" i="100" s="1"/>
  <c r="I222" i="100"/>
  <c r="AC222" i="100" s="1"/>
  <c r="I281" i="100"/>
  <c r="AC281" i="100" s="1"/>
  <c r="I290" i="100"/>
  <c r="AC290" i="100" s="1"/>
  <c r="I297" i="100"/>
  <c r="AC297" i="100" s="1"/>
  <c r="AA299" i="100"/>
  <c r="AA309" i="100"/>
  <c r="I324" i="100"/>
  <c r="AC324" i="100" s="1"/>
  <c r="AA327" i="100"/>
  <c r="I229" i="100"/>
  <c r="AC229" i="100" s="1"/>
  <c r="O260" i="100"/>
  <c r="I188" i="100"/>
  <c r="AC188" i="100" s="1"/>
  <c r="AA24" i="100"/>
  <c r="P24" i="100" s="1"/>
  <c r="R24" i="100" s="1"/>
  <c r="AA193" i="100"/>
  <c r="I278" i="100"/>
  <c r="AC278" i="100" s="1"/>
  <c r="P278" i="100" s="1"/>
  <c r="I235" i="100"/>
  <c r="AC235" i="100" s="1"/>
  <c r="I301" i="100"/>
  <c r="AC301" i="100" s="1"/>
  <c r="I311" i="100"/>
  <c r="AC311" i="100" s="1"/>
  <c r="I238" i="100"/>
  <c r="AC238" i="100" s="1"/>
  <c r="AA384" i="100"/>
  <c r="I156" i="100"/>
  <c r="AC156" i="100" s="1"/>
  <c r="U156" i="100" s="1"/>
  <c r="AA30" i="100"/>
  <c r="AA131" i="100"/>
  <c r="I131" i="100"/>
  <c r="AC131" i="100" s="1"/>
  <c r="AA294" i="100"/>
  <c r="I294" i="100"/>
  <c r="AC294" i="100" s="1"/>
  <c r="AA268" i="100"/>
  <c r="I268" i="100"/>
  <c r="AC268" i="100" s="1"/>
  <c r="AA276" i="100"/>
  <c r="I276" i="100"/>
  <c r="AC276" i="100" s="1"/>
  <c r="I272" i="100"/>
  <c r="AC272" i="100" s="1"/>
  <c r="U272" i="100" s="1"/>
  <c r="I280" i="100"/>
  <c r="AC280" i="100" s="1"/>
  <c r="U280" i="100" s="1"/>
  <c r="AA300" i="100"/>
  <c r="I300" i="100"/>
  <c r="AC300" i="100" s="1"/>
  <c r="AA303" i="100"/>
  <c r="I303" i="100"/>
  <c r="AC303" i="100" s="1"/>
  <c r="AA292" i="100"/>
  <c r="I292" i="100"/>
  <c r="AC292" i="100" s="1"/>
  <c r="AA310" i="100"/>
  <c r="I310" i="100"/>
  <c r="AC310" i="100" s="1"/>
  <c r="AA286" i="100"/>
  <c r="I286" i="100"/>
  <c r="AC286" i="100" s="1"/>
  <c r="AA190" i="100"/>
  <c r="I190" i="100"/>
  <c r="AC190" i="100" s="1"/>
  <c r="I27" i="100"/>
  <c r="AC27" i="100" s="1"/>
  <c r="AA27" i="100"/>
  <c r="AA325" i="100"/>
  <c r="I325" i="100"/>
  <c r="AC325" i="100" s="1"/>
  <c r="AA228" i="100"/>
  <c r="I228" i="100"/>
  <c r="AC228" i="100" s="1"/>
  <c r="I37" i="100"/>
  <c r="AC37" i="100" s="1"/>
  <c r="AA319" i="100"/>
  <c r="I319" i="100"/>
  <c r="AC319" i="100" s="1"/>
  <c r="I22" i="100"/>
  <c r="AC22" i="100" s="1"/>
  <c r="AA22" i="100"/>
  <c r="AA326" i="100"/>
  <c r="I330" i="100"/>
  <c r="AC330" i="100" s="1"/>
  <c r="I313" i="100"/>
  <c r="AC313" i="100" s="1"/>
  <c r="AA321" i="100"/>
  <c r="AA231" i="100"/>
  <c r="I231" i="100"/>
  <c r="AC231" i="100" s="1"/>
  <c r="AA234" i="100"/>
  <c r="I234" i="100"/>
  <c r="AC234" i="100" s="1"/>
  <c r="AA237" i="100"/>
  <c r="I237" i="100"/>
  <c r="AC237" i="100" s="1"/>
  <c r="AA240" i="100"/>
  <c r="I240" i="100"/>
  <c r="AC240" i="100" s="1"/>
  <c r="AA243" i="100"/>
  <c r="I243" i="100"/>
  <c r="AC243" i="100" s="1"/>
  <c r="AA246" i="100"/>
  <c r="I246" i="100"/>
  <c r="AC246" i="100" s="1"/>
  <c r="I31" i="100"/>
  <c r="AC31" i="100" s="1"/>
  <c r="AA31" i="100"/>
  <c r="AA191" i="100"/>
  <c r="I191" i="100"/>
  <c r="AC191" i="100" s="1"/>
  <c r="AA380" i="100"/>
  <c r="I380" i="100"/>
  <c r="AC380" i="100" s="1"/>
  <c r="AA36" i="100"/>
  <c r="I18" i="100"/>
  <c r="AC18" i="100" s="1"/>
  <c r="AA18" i="100"/>
  <c r="AA227" i="100"/>
  <c r="AA230" i="100"/>
  <c r="AA233" i="100"/>
  <c r="AA236" i="100"/>
  <c r="AA239" i="100"/>
  <c r="AA242" i="100"/>
  <c r="AA245" i="100"/>
  <c r="AA221" i="100"/>
  <c r="I134" i="100"/>
  <c r="AC134" i="100" s="1"/>
  <c r="AA225" i="100"/>
  <c r="I137" i="100"/>
  <c r="AC137" i="100" s="1"/>
  <c r="AA17" i="100"/>
  <c r="AA26" i="100"/>
  <c r="AA25" i="100"/>
  <c r="P25" i="100" s="1"/>
  <c r="AA35" i="100"/>
  <c r="AA20" i="100"/>
  <c r="AA29" i="100"/>
  <c r="AA196" i="100"/>
  <c r="I196" i="100"/>
  <c r="AC196" i="100" s="1"/>
  <c r="I382" i="100"/>
  <c r="AC382" i="100" s="1"/>
  <c r="AA381" i="100"/>
  <c r="M46" i="98"/>
  <c r="U70" i="100" l="1"/>
  <c r="O215" i="100"/>
  <c r="O217" i="100" s="1"/>
  <c r="F19" i="63" s="1"/>
  <c r="P370" i="100"/>
  <c r="O150" i="100"/>
  <c r="O152" i="100" s="1"/>
  <c r="F16" i="63" s="1"/>
  <c r="Z168" i="100"/>
  <c r="O181" i="100"/>
  <c r="Z270" i="100"/>
  <c r="U198" i="100"/>
  <c r="Z265" i="100"/>
  <c r="O386" i="100"/>
  <c r="O388" i="100" s="1"/>
  <c r="F22" i="63" s="1"/>
  <c r="U193" i="100"/>
  <c r="Z283" i="100"/>
  <c r="Z26" i="100"/>
  <c r="Z268" i="100"/>
  <c r="U245" i="100"/>
  <c r="U226" i="100"/>
  <c r="U320" i="100"/>
  <c r="U33" i="100"/>
  <c r="P333" i="100"/>
  <c r="U187" i="100"/>
  <c r="P209" i="100"/>
  <c r="R209" i="100" s="1"/>
  <c r="Z261" i="100"/>
  <c r="P281" i="100"/>
  <c r="R281" i="100" s="1"/>
  <c r="U281" i="100" s="1"/>
  <c r="P136" i="100"/>
  <c r="R136" i="100" s="1"/>
  <c r="U30" i="100"/>
  <c r="Z266" i="100"/>
  <c r="Z252" i="100"/>
  <c r="P304" i="100"/>
  <c r="R304" i="100" s="1"/>
  <c r="O255" i="100"/>
  <c r="O257" i="100" s="1"/>
  <c r="F20" i="63" s="1"/>
  <c r="P334" i="100"/>
  <c r="R334" i="100" s="1"/>
  <c r="O163" i="100"/>
  <c r="O165" i="100" s="1"/>
  <c r="F17" i="63" s="1"/>
  <c r="P37" i="100"/>
  <c r="R37" i="100" s="1"/>
  <c r="Z260" i="100"/>
  <c r="U244" i="100"/>
  <c r="P315" i="100"/>
  <c r="R315" i="100" s="1"/>
  <c r="U341" i="100"/>
  <c r="P330" i="100"/>
  <c r="R330" i="100" s="1"/>
  <c r="P339" i="100"/>
  <c r="R339" i="100" s="1"/>
  <c r="U137" i="100"/>
  <c r="U134" i="100"/>
  <c r="O125" i="100"/>
  <c r="O127" i="100" s="1"/>
  <c r="F15" i="63" s="1"/>
  <c r="U239" i="100"/>
  <c r="U317" i="100"/>
  <c r="U139" i="100"/>
  <c r="U347" i="100"/>
  <c r="Z28" i="100"/>
  <c r="U332" i="100"/>
  <c r="Z353" i="100"/>
  <c r="P302" i="100"/>
  <c r="R302" i="100" s="1"/>
  <c r="U384" i="100"/>
  <c r="U287" i="100"/>
  <c r="U321" i="100"/>
  <c r="P220" i="100"/>
  <c r="R220" i="100" s="1"/>
  <c r="P341" i="100"/>
  <c r="R341" i="100" s="1"/>
  <c r="Z350" i="100"/>
  <c r="O183" i="100"/>
  <c r="F18" i="63" s="1"/>
  <c r="U293" i="100"/>
  <c r="Z276" i="100"/>
  <c r="U340" i="100"/>
  <c r="Z277" i="100"/>
  <c r="P337" i="100"/>
  <c r="R337" i="100" s="1"/>
  <c r="P195" i="100"/>
  <c r="R195" i="100" s="1"/>
  <c r="U227" i="100"/>
  <c r="P307" i="100"/>
  <c r="R307" i="100" s="1"/>
  <c r="P342" i="100"/>
  <c r="R342" i="100" s="1"/>
  <c r="P223" i="100"/>
  <c r="R223" i="100" s="1"/>
  <c r="P311" i="100"/>
  <c r="R311" i="100" s="1"/>
  <c r="U312" i="100"/>
  <c r="U301" i="100"/>
  <c r="P335" i="100"/>
  <c r="R335" i="100" s="1"/>
  <c r="Z354" i="100"/>
  <c r="U197" i="100"/>
  <c r="P291" i="100"/>
  <c r="R291" i="100" s="1"/>
  <c r="Z279" i="100"/>
  <c r="Z131" i="100"/>
  <c r="U314" i="100"/>
  <c r="P381" i="100"/>
  <c r="R381" i="100" s="1"/>
  <c r="P222" i="100"/>
  <c r="R222" i="100" s="1"/>
  <c r="U305" i="100"/>
  <c r="P382" i="100"/>
  <c r="R382" i="100" s="1"/>
  <c r="Z18" i="100"/>
  <c r="P328" i="100"/>
  <c r="R328" i="100" s="1"/>
  <c r="U328" i="100"/>
  <c r="U295" i="100"/>
  <c r="P331" i="100"/>
  <c r="R331" i="100" s="1"/>
  <c r="U238" i="100"/>
  <c r="P313" i="100"/>
  <c r="R313" i="100" s="1"/>
  <c r="P146" i="100"/>
  <c r="R146" i="100" s="1"/>
  <c r="Z264" i="100"/>
  <c r="U336" i="100"/>
  <c r="Z20" i="100"/>
  <c r="P383" i="100"/>
  <c r="R383" i="100" s="1"/>
  <c r="P298" i="100"/>
  <c r="R298" i="100" s="1"/>
  <c r="U235" i="100"/>
  <c r="U288" i="100"/>
  <c r="U285" i="100"/>
  <c r="U194" i="100"/>
  <c r="P225" i="100"/>
  <c r="R225" i="100" s="1"/>
  <c r="P188" i="100"/>
  <c r="R188" i="100" s="1"/>
  <c r="U369" i="100"/>
  <c r="P289" i="100"/>
  <c r="R289" i="100" s="1"/>
  <c r="Z351" i="100"/>
  <c r="P224" i="100"/>
  <c r="R224" i="100" s="1"/>
  <c r="U138" i="100"/>
  <c r="P361" i="100"/>
  <c r="R361" i="100" s="1"/>
  <c r="U242" i="100"/>
  <c r="U324" i="100"/>
  <c r="U309" i="100"/>
  <c r="P283" i="100"/>
  <c r="R283" i="100" s="1"/>
  <c r="U283" i="100" s="1"/>
  <c r="U343" i="100"/>
  <c r="U236" i="100"/>
  <c r="Z27" i="100"/>
  <c r="U299" i="100"/>
  <c r="P344" i="100"/>
  <c r="R344" i="100" s="1"/>
  <c r="U297" i="100"/>
  <c r="U318" i="100"/>
  <c r="P177" i="100"/>
  <c r="R177" i="100" s="1"/>
  <c r="P358" i="100"/>
  <c r="R358" i="100" s="1"/>
  <c r="Z263" i="100"/>
  <c r="Z249" i="100"/>
  <c r="U241" i="100"/>
  <c r="P35" i="100"/>
  <c r="R35" i="100" s="1"/>
  <c r="U232" i="100"/>
  <c r="U326" i="100"/>
  <c r="U322" i="100"/>
  <c r="P306" i="100"/>
  <c r="R306" i="100" s="1"/>
  <c r="Z22" i="100"/>
  <c r="P189" i="100"/>
  <c r="R189" i="100" s="1"/>
  <c r="Z17" i="100"/>
  <c r="P34" i="100"/>
  <c r="R34" i="100" s="1"/>
  <c r="P122" i="100"/>
  <c r="R122" i="100" s="1"/>
  <c r="U348" i="100"/>
  <c r="U192" i="100"/>
  <c r="P346" i="100"/>
  <c r="R346" i="100" s="1"/>
  <c r="U308" i="100"/>
  <c r="U323" i="100"/>
  <c r="Z275" i="100"/>
  <c r="P229" i="100"/>
  <c r="R229" i="100" s="1"/>
  <c r="U316" i="100"/>
  <c r="Z78" i="100"/>
  <c r="Z271" i="100"/>
  <c r="U327" i="100"/>
  <c r="P210" i="100"/>
  <c r="R210" i="100" s="1"/>
  <c r="P354" i="100"/>
  <c r="R354" i="100" s="1"/>
  <c r="Q325" i="100"/>
  <c r="P325" i="100" s="1"/>
  <c r="R325" i="100" s="1"/>
  <c r="U296" i="100"/>
  <c r="P356" i="100"/>
  <c r="R356" i="100" s="1"/>
  <c r="Z174" i="100"/>
  <c r="P135" i="100"/>
  <c r="R135" i="100" s="1"/>
  <c r="U233" i="100"/>
  <c r="U230" i="100"/>
  <c r="P290" i="100"/>
  <c r="R290" i="100" s="1"/>
  <c r="U330" i="100"/>
  <c r="P145" i="100"/>
  <c r="R145" i="100" s="1"/>
  <c r="P345" i="100"/>
  <c r="R345" i="100" s="1"/>
  <c r="P340" i="100"/>
  <c r="R340" i="100" s="1"/>
  <c r="U145" i="100"/>
  <c r="Z208" i="100"/>
  <c r="Z66" i="100"/>
  <c r="Z171" i="100"/>
  <c r="Z74" i="100"/>
  <c r="Z81" i="100"/>
  <c r="Z68" i="100"/>
  <c r="Z110" i="100"/>
  <c r="Z204" i="100"/>
  <c r="Z87" i="100"/>
  <c r="Z199" i="100"/>
  <c r="U329" i="100"/>
  <c r="U146" i="100"/>
  <c r="U345" i="100"/>
  <c r="Z39" i="100"/>
  <c r="Z93" i="100"/>
  <c r="U361" i="100"/>
  <c r="Z76" i="100"/>
  <c r="Z84" i="100"/>
  <c r="Z91" i="100"/>
  <c r="Z120" i="100"/>
  <c r="Z158" i="100"/>
  <c r="Z97" i="100"/>
  <c r="Z24" i="100"/>
  <c r="Z49" i="100"/>
  <c r="Z111" i="100"/>
  <c r="Z157" i="100"/>
  <c r="Z103" i="100"/>
  <c r="U334" i="100"/>
  <c r="Z45" i="100"/>
  <c r="Z42" i="100"/>
  <c r="Z86" i="100"/>
  <c r="Z63" i="100"/>
  <c r="Z114" i="100"/>
  <c r="Z94" i="100"/>
  <c r="Z121" i="100"/>
  <c r="Z98" i="100"/>
  <c r="Z25" i="100"/>
  <c r="Z107" i="100"/>
  <c r="Z58" i="100"/>
  <c r="Z59" i="100"/>
  <c r="Q329" i="100"/>
  <c r="Z170" i="100"/>
  <c r="Z55" i="100"/>
  <c r="Z62" i="100"/>
  <c r="Z96" i="100"/>
  <c r="Z73" i="100"/>
  <c r="Z104" i="100"/>
  <c r="Z40" i="100"/>
  <c r="Z117" i="100"/>
  <c r="Z44" i="100"/>
  <c r="Z108" i="100"/>
  <c r="Z69" i="100"/>
  <c r="U73" i="100"/>
  <c r="U37" i="100"/>
  <c r="Z65" i="100"/>
  <c r="Z72" i="100"/>
  <c r="Z106" i="100"/>
  <c r="Z83" i="100"/>
  <c r="Z21" i="100"/>
  <c r="Z50" i="100"/>
  <c r="Z79" i="100"/>
  <c r="Z75" i="100"/>
  <c r="Z116" i="100"/>
  <c r="Z201" i="100"/>
  <c r="Z202" i="100"/>
  <c r="Z60" i="100"/>
  <c r="Z19" i="100"/>
  <c r="Z52" i="100"/>
  <c r="U335" i="100"/>
  <c r="Z155" i="100"/>
  <c r="U339" i="100"/>
  <c r="U356" i="100"/>
  <c r="Z43" i="100"/>
  <c r="Z95" i="100"/>
  <c r="Z92" i="100"/>
  <c r="Z70" i="100"/>
  <c r="Z85" i="100"/>
  <c r="U349" i="100"/>
  <c r="U358" i="100"/>
  <c r="Z99" i="100"/>
  <c r="Z88" i="100"/>
  <c r="Z53" i="100"/>
  <c r="Z115" i="100"/>
  <c r="Z102" i="100"/>
  <c r="Z80" i="100"/>
  <c r="Z57" i="100"/>
  <c r="Z109" i="100"/>
  <c r="Z160" i="100"/>
  <c r="Z112" i="100"/>
  <c r="Z46" i="100"/>
  <c r="Z161" i="100"/>
  <c r="Z90" i="100"/>
  <c r="Z67" i="100"/>
  <c r="Z51" i="100"/>
  <c r="Z105" i="100"/>
  <c r="U338" i="100"/>
  <c r="U346" i="100"/>
  <c r="Z207" i="100"/>
  <c r="U331" i="100"/>
  <c r="U382" i="100"/>
  <c r="Z61" i="100"/>
  <c r="Z56" i="100"/>
  <c r="Z205" i="100"/>
  <c r="Z130" i="100"/>
  <c r="Z54" i="100"/>
  <c r="Z71" i="100"/>
  <c r="Z48" i="100"/>
  <c r="Z77" i="100"/>
  <c r="Z142" i="100"/>
  <c r="Z101" i="100"/>
  <c r="O375" i="100"/>
  <c r="O377" i="100" s="1"/>
  <c r="F21" i="63" s="1"/>
  <c r="R371" i="100"/>
  <c r="R368" i="100"/>
  <c r="P367" i="100"/>
  <c r="U368" i="100"/>
  <c r="R370" i="100"/>
  <c r="U337" i="100"/>
  <c r="P363" i="100"/>
  <c r="R363" i="100" s="1"/>
  <c r="P347" i="100"/>
  <c r="R347" i="100" s="1"/>
  <c r="P350" i="100"/>
  <c r="R350" i="100" s="1"/>
  <c r="P360" i="100"/>
  <c r="R360" i="100" s="1"/>
  <c r="P359" i="100"/>
  <c r="R359" i="100" s="1"/>
  <c r="P348" i="100"/>
  <c r="R348" i="100" s="1"/>
  <c r="U342" i="100"/>
  <c r="U344" i="100"/>
  <c r="P355" i="100"/>
  <c r="R355" i="100" s="1"/>
  <c r="U252" i="100"/>
  <c r="P353" i="100"/>
  <c r="R353" i="100" s="1"/>
  <c r="P349" i="100"/>
  <c r="R349" i="100" s="1"/>
  <c r="U351" i="100"/>
  <c r="P338" i="100"/>
  <c r="P332" i="100"/>
  <c r="R332" i="100" s="1"/>
  <c r="P362" i="100"/>
  <c r="R362" i="100" s="1"/>
  <c r="P352" i="100"/>
  <c r="P343" i="100"/>
  <c r="P357" i="100"/>
  <c r="R333" i="100"/>
  <c r="P247" i="100"/>
  <c r="R247" i="100" s="1"/>
  <c r="U333" i="100"/>
  <c r="P263" i="100"/>
  <c r="P336" i="100"/>
  <c r="R252" i="100"/>
  <c r="U253" i="100"/>
  <c r="U248" i="100"/>
  <c r="R248" i="100"/>
  <c r="U250" i="100"/>
  <c r="P262" i="100"/>
  <c r="R262" i="100" s="1"/>
  <c r="R250" i="100"/>
  <c r="R251" i="100"/>
  <c r="P249" i="100"/>
  <c r="U251" i="100"/>
  <c r="U265" i="100"/>
  <c r="P202" i="100"/>
  <c r="R202" i="100" s="1"/>
  <c r="R265" i="100"/>
  <c r="P159" i="100"/>
  <c r="R159" i="100" s="1"/>
  <c r="P266" i="100"/>
  <c r="U266" i="100"/>
  <c r="P261" i="100"/>
  <c r="U261" i="100"/>
  <c r="P211" i="100"/>
  <c r="P198" i="100"/>
  <c r="R198" i="100" s="1"/>
  <c r="U201" i="100"/>
  <c r="P200" i="100"/>
  <c r="R200" i="100" s="1"/>
  <c r="U203" i="100"/>
  <c r="P264" i="100"/>
  <c r="U264" i="100"/>
  <c r="P168" i="100"/>
  <c r="R168" i="100" s="1"/>
  <c r="P199" i="100"/>
  <c r="R199" i="100" s="1"/>
  <c r="P173" i="100"/>
  <c r="R173" i="100" s="1"/>
  <c r="U207" i="100"/>
  <c r="P204" i="100"/>
  <c r="R204" i="100" s="1"/>
  <c r="P205" i="100"/>
  <c r="R205" i="100" s="1"/>
  <c r="R203" i="100"/>
  <c r="P208" i="100"/>
  <c r="R208" i="100" s="1"/>
  <c r="P206" i="100"/>
  <c r="R206" i="100" s="1"/>
  <c r="P174" i="100"/>
  <c r="R174" i="100" s="1"/>
  <c r="P197" i="100"/>
  <c r="U157" i="100"/>
  <c r="U169" i="100"/>
  <c r="P170" i="100"/>
  <c r="P138" i="100"/>
  <c r="R138" i="100" s="1"/>
  <c r="U172" i="100"/>
  <c r="U140" i="100"/>
  <c r="P171" i="100"/>
  <c r="U55" i="100"/>
  <c r="U175" i="100"/>
  <c r="P143" i="100"/>
  <c r="R143" i="100" s="1"/>
  <c r="U176" i="100"/>
  <c r="R169" i="100"/>
  <c r="R160" i="100"/>
  <c r="U158" i="100"/>
  <c r="U43" i="100"/>
  <c r="U160" i="100"/>
  <c r="P141" i="100"/>
  <c r="R158" i="100"/>
  <c r="R161" i="100"/>
  <c r="P119" i="100"/>
  <c r="R119" i="100" s="1"/>
  <c r="U161" i="100"/>
  <c r="U130" i="100"/>
  <c r="U117" i="100"/>
  <c r="U89" i="100"/>
  <c r="P144" i="100"/>
  <c r="R144" i="100" s="1"/>
  <c r="P101" i="100"/>
  <c r="P142" i="100"/>
  <c r="P139" i="100"/>
  <c r="P41" i="100"/>
  <c r="U99" i="100"/>
  <c r="P85" i="100"/>
  <c r="U94" i="100"/>
  <c r="P300" i="100"/>
  <c r="R300" i="100" s="1"/>
  <c r="U112" i="100"/>
  <c r="P83" i="100"/>
  <c r="U74" i="100"/>
  <c r="U88" i="100"/>
  <c r="U81" i="100"/>
  <c r="P77" i="100"/>
  <c r="R77" i="100" s="1"/>
  <c r="P97" i="100"/>
  <c r="P58" i="100"/>
  <c r="P111" i="100"/>
  <c r="R111" i="100" s="1"/>
  <c r="P61" i="100"/>
  <c r="R61" i="100" s="1"/>
  <c r="U72" i="100"/>
  <c r="U79" i="100"/>
  <c r="U23" i="100"/>
  <c r="U60" i="100"/>
  <c r="U47" i="100"/>
  <c r="R89" i="100"/>
  <c r="U107" i="100"/>
  <c r="P54" i="100"/>
  <c r="P59" i="100"/>
  <c r="P82" i="100"/>
  <c r="R96" i="100"/>
  <c r="P84" i="100"/>
  <c r="P51" i="100"/>
  <c r="P71" i="100"/>
  <c r="U115" i="100"/>
  <c r="P33" i="100"/>
  <c r="R33" i="100" s="1"/>
  <c r="U118" i="100"/>
  <c r="R130" i="100"/>
  <c r="R118" i="100"/>
  <c r="R47" i="100"/>
  <c r="P90" i="100"/>
  <c r="R90" i="100" s="1"/>
  <c r="P95" i="100"/>
  <c r="U53" i="100"/>
  <c r="U69" i="100"/>
  <c r="U100" i="100"/>
  <c r="P56" i="100"/>
  <c r="P293" i="100"/>
  <c r="R293" i="100" s="1"/>
  <c r="U68" i="100"/>
  <c r="P64" i="100"/>
  <c r="P42" i="100"/>
  <c r="U120" i="100"/>
  <c r="U19" i="100"/>
  <c r="V19" i="100" s="1"/>
  <c r="X19" i="100" s="1"/>
  <c r="Y19" i="100" s="1"/>
  <c r="U62" i="100"/>
  <c r="U224" i="100"/>
  <c r="P40" i="100"/>
  <c r="U49" i="100"/>
  <c r="P91" i="100"/>
  <c r="U102" i="100"/>
  <c r="P45" i="100"/>
  <c r="P21" i="100"/>
  <c r="R21" i="100" s="1"/>
  <c r="P114" i="100"/>
  <c r="R114" i="100" s="1"/>
  <c r="R93" i="100"/>
  <c r="R72" i="100"/>
  <c r="R69" i="100"/>
  <c r="R94" i="100"/>
  <c r="P87" i="100"/>
  <c r="P113" i="100"/>
  <c r="P46" i="100"/>
  <c r="R70" i="100"/>
  <c r="P63" i="100"/>
  <c r="U93" i="100"/>
  <c r="U96" i="100"/>
  <c r="P98" i="100"/>
  <c r="P116" i="100"/>
  <c r="R116" i="100" s="1"/>
  <c r="P121" i="100"/>
  <c r="R121" i="100" s="1"/>
  <c r="P106" i="100"/>
  <c r="P109" i="100"/>
  <c r="R109" i="100" s="1"/>
  <c r="P65" i="100"/>
  <c r="P66" i="100"/>
  <c r="P67" i="100"/>
  <c r="P48" i="100"/>
  <c r="P50" i="100"/>
  <c r="P108" i="100"/>
  <c r="U122" i="100"/>
  <c r="R49" i="100"/>
  <c r="U110" i="100"/>
  <c r="P57" i="100"/>
  <c r="U105" i="100"/>
  <c r="R43" i="100"/>
  <c r="R38" i="100"/>
  <c r="R55" i="100"/>
  <c r="R102" i="100"/>
  <c r="R86" i="100"/>
  <c r="R105" i="100"/>
  <c r="U78" i="100"/>
  <c r="P78" i="100"/>
  <c r="U38" i="100"/>
  <c r="U290" i="100"/>
  <c r="P44" i="100"/>
  <c r="U80" i="100"/>
  <c r="P104" i="100"/>
  <c r="U267" i="100"/>
  <c r="P52" i="100"/>
  <c r="P76" i="100"/>
  <c r="R76" i="100" s="1"/>
  <c r="P75" i="100"/>
  <c r="R75" i="100" s="1"/>
  <c r="U86" i="100"/>
  <c r="U34" i="100"/>
  <c r="P324" i="100"/>
  <c r="P39" i="100"/>
  <c r="P92" i="100"/>
  <c r="P103" i="100"/>
  <c r="R60" i="100"/>
  <c r="R100" i="100"/>
  <c r="R62" i="100"/>
  <c r="R79" i="100"/>
  <c r="R88" i="100"/>
  <c r="R74" i="100"/>
  <c r="U220" i="100"/>
  <c r="U269" i="100"/>
  <c r="P190" i="100"/>
  <c r="R190" i="100" s="1"/>
  <c r="P317" i="100"/>
  <c r="P226" i="100"/>
  <c r="R226" i="100" s="1"/>
  <c r="U135" i="100"/>
  <c r="P279" i="100"/>
  <c r="R279" i="100" s="1"/>
  <c r="P28" i="100"/>
  <c r="P310" i="100"/>
  <c r="U307" i="100"/>
  <c r="P384" i="100"/>
  <c r="U315" i="100"/>
  <c r="P241" i="100"/>
  <c r="R241" i="100" s="1"/>
  <c r="U291" i="100"/>
  <c r="P299" i="100"/>
  <c r="P312" i="100"/>
  <c r="R312" i="100" s="1"/>
  <c r="P270" i="100"/>
  <c r="R270" i="100" s="1"/>
  <c r="P193" i="100"/>
  <c r="P232" i="100"/>
  <c r="P309" i="100"/>
  <c r="P301" i="100"/>
  <c r="P275" i="100"/>
  <c r="U289" i="100"/>
  <c r="P131" i="100"/>
  <c r="R131" i="100" s="1"/>
  <c r="P323" i="100"/>
  <c r="U24" i="100"/>
  <c r="U222" i="100"/>
  <c r="U302" i="100"/>
  <c r="P196" i="100"/>
  <c r="R196" i="100" s="1"/>
  <c r="P308" i="100"/>
  <c r="R308" i="100" s="1"/>
  <c r="P316" i="100"/>
  <c r="R316" i="100" s="1"/>
  <c r="P280" i="100"/>
  <c r="R280" i="100" s="1"/>
  <c r="P305" i="100"/>
  <c r="U304" i="100"/>
  <c r="P277" i="100"/>
  <c r="U136" i="100"/>
  <c r="U260" i="100"/>
  <c r="U155" i="100"/>
  <c r="P285" i="100"/>
  <c r="P30" i="100"/>
  <c r="R30" i="100" s="1"/>
  <c r="P192" i="100"/>
  <c r="P303" i="100"/>
  <c r="R303" i="100" s="1"/>
  <c r="P287" i="100"/>
  <c r="R278" i="100"/>
  <c r="P244" i="100"/>
  <c r="U278" i="100"/>
  <c r="P318" i="100"/>
  <c r="R318" i="100" s="1"/>
  <c r="P284" i="100"/>
  <c r="P282" i="100"/>
  <c r="U195" i="100"/>
  <c r="P296" i="100"/>
  <c r="R296" i="100" s="1"/>
  <c r="P238" i="100"/>
  <c r="R238" i="100" s="1"/>
  <c r="P271" i="100"/>
  <c r="U274" i="100"/>
  <c r="P194" i="100"/>
  <c r="P272" i="100"/>
  <c r="R272" i="100" s="1"/>
  <c r="U300" i="100"/>
  <c r="U223" i="100"/>
  <c r="P297" i="100"/>
  <c r="R297" i="100" s="1"/>
  <c r="P288" i="100"/>
  <c r="R288" i="100" s="1"/>
  <c r="P273" i="100"/>
  <c r="R273" i="100" s="1"/>
  <c r="P132" i="100"/>
  <c r="R132" i="100" s="1"/>
  <c r="P133" i="100"/>
  <c r="R133" i="100" s="1"/>
  <c r="U311" i="100"/>
  <c r="P320" i="100"/>
  <c r="P326" i="100"/>
  <c r="R326" i="100" s="1"/>
  <c r="P187" i="100"/>
  <c r="U294" i="100"/>
  <c r="U298" i="100"/>
  <c r="U306" i="100"/>
  <c r="P327" i="100"/>
  <c r="P156" i="100"/>
  <c r="U313" i="100"/>
  <c r="P295" i="100"/>
  <c r="R186" i="100"/>
  <c r="U188" i="100"/>
  <c r="P235" i="100"/>
  <c r="P137" i="100"/>
  <c r="P321" i="100"/>
  <c r="R321" i="100" s="1"/>
  <c r="P294" i="100"/>
  <c r="R294" i="100" s="1"/>
  <c r="P134" i="100"/>
  <c r="R134" i="100" s="1"/>
  <c r="U189" i="100"/>
  <c r="P32" i="100"/>
  <c r="P322" i="100"/>
  <c r="P314" i="100"/>
  <c r="U186" i="100"/>
  <c r="P239" i="100"/>
  <c r="P227" i="100"/>
  <c r="R227" i="100" s="1"/>
  <c r="U310" i="100"/>
  <c r="U229" i="100"/>
  <c r="U221" i="100"/>
  <c r="P31" i="100"/>
  <c r="U31" i="100"/>
  <c r="U18" i="100"/>
  <c r="V18" i="100" s="1"/>
  <c r="X18" i="100" s="1"/>
  <c r="P18" i="100"/>
  <c r="U325" i="100"/>
  <c r="U27" i="100"/>
  <c r="P27" i="100"/>
  <c r="U29" i="100"/>
  <c r="P29" i="100"/>
  <c r="P243" i="100"/>
  <c r="U243" i="100"/>
  <c r="P237" i="100"/>
  <c r="U237" i="100"/>
  <c r="P231" i="100"/>
  <c r="U231" i="100"/>
  <c r="P22" i="100"/>
  <c r="U22" i="100"/>
  <c r="P245" i="100"/>
  <c r="P236" i="100"/>
  <c r="R267" i="100"/>
  <c r="U131" i="100"/>
  <c r="P230" i="100"/>
  <c r="U196" i="100"/>
  <c r="U35" i="100"/>
  <c r="U319" i="100"/>
  <c r="P319" i="100"/>
  <c r="U228" i="100"/>
  <c r="P228" i="100"/>
  <c r="P292" i="100"/>
  <c r="U292" i="100"/>
  <c r="U303" i="100"/>
  <c r="U276" i="100"/>
  <c r="P276" i="100"/>
  <c r="U25" i="100"/>
  <c r="R155" i="100"/>
  <c r="U381" i="100"/>
  <c r="U20" i="100"/>
  <c r="P20" i="100"/>
  <c r="P26" i="100"/>
  <c r="U26" i="100"/>
  <c r="U225" i="100"/>
  <c r="R19" i="100"/>
  <c r="P221" i="100"/>
  <c r="P242" i="100"/>
  <c r="P233" i="100"/>
  <c r="T260" i="100"/>
  <c r="R274" i="100"/>
  <c r="U190" i="100"/>
  <c r="P286" i="100"/>
  <c r="U286" i="100"/>
  <c r="U268" i="100"/>
  <c r="P268" i="100"/>
  <c r="P17" i="100"/>
  <c r="U17" i="100"/>
  <c r="R25" i="100"/>
  <c r="P36" i="100"/>
  <c r="U36" i="100"/>
  <c r="U380" i="100"/>
  <c r="P380" i="100"/>
  <c r="U191" i="100"/>
  <c r="P191" i="100"/>
  <c r="P246" i="100"/>
  <c r="U246" i="100"/>
  <c r="P240" i="100"/>
  <c r="U240" i="100"/>
  <c r="P234" i="100"/>
  <c r="U234" i="100"/>
  <c r="P31" i="77"/>
  <c r="V29" i="77"/>
  <c r="O130" i="40"/>
  <c r="V32" i="77"/>
  <c r="T32" i="77"/>
  <c r="P18" i="77"/>
  <c r="P17" i="77"/>
  <c r="P16" i="77"/>
  <c r="P15" i="77"/>
  <c r="P215" i="100" l="1"/>
  <c r="U215" i="100"/>
  <c r="Q375" i="100"/>
  <c r="Q377" i="100" s="1"/>
  <c r="Q390" i="100" s="1"/>
  <c r="P329" i="100"/>
  <c r="P375" i="100" s="1"/>
  <c r="P377" i="100" s="1"/>
  <c r="R367" i="100"/>
  <c r="R263" i="100"/>
  <c r="P386" i="100"/>
  <c r="U386" i="100"/>
  <c r="U388" i="100" s="1"/>
  <c r="N388" i="100"/>
  <c r="R338" i="100"/>
  <c r="R352" i="100"/>
  <c r="R357" i="100"/>
  <c r="R343" i="100"/>
  <c r="V260" i="100"/>
  <c r="R336" i="100"/>
  <c r="P255" i="100"/>
  <c r="P257" i="100" s="1"/>
  <c r="H20" i="63" s="1"/>
  <c r="R249" i="100"/>
  <c r="U255" i="100"/>
  <c r="U257" i="100" s="1"/>
  <c r="P163" i="100"/>
  <c r="P165" i="100" s="1"/>
  <c r="H17" i="63" s="1"/>
  <c r="R264" i="100"/>
  <c r="R211" i="100"/>
  <c r="R266" i="100"/>
  <c r="R261" i="100"/>
  <c r="U217" i="100"/>
  <c r="P217" i="100"/>
  <c r="H19" i="63" s="1"/>
  <c r="R197" i="100"/>
  <c r="R170" i="100"/>
  <c r="P181" i="100"/>
  <c r="P183" i="100" s="1"/>
  <c r="H18" i="63" s="1"/>
  <c r="R171" i="100"/>
  <c r="U181" i="100"/>
  <c r="U183" i="100" s="1"/>
  <c r="U163" i="100"/>
  <c r="U165" i="100" s="1"/>
  <c r="R141" i="100"/>
  <c r="R232" i="100"/>
  <c r="R101" i="100"/>
  <c r="R83" i="100"/>
  <c r="R41" i="100"/>
  <c r="R58" i="100"/>
  <c r="R139" i="100"/>
  <c r="U150" i="100"/>
  <c r="U152" i="100" s="1"/>
  <c r="R85" i="100"/>
  <c r="R142" i="100"/>
  <c r="P150" i="100"/>
  <c r="P152" i="100" s="1"/>
  <c r="H16" i="63" s="1"/>
  <c r="R97" i="100"/>
  <c r="R45" i="100"/>
  <c r="R67" i="100"/>
  <c r="R54" i="100"/>
  <c r="R84" i="100"/>
  <c r="R64" i="100"/>
  <c r="R42" i="100"/>
  <c r="R82" i="100"/>
  <c r="R51" i="100"/>
  <c r="R71" i="100"/>
  <c r="R59" i="100"/>
  <c r="R87" i="100"/>
  <c r="R40" i="100"/>
  <c r="R56" i="100"/>
  <c r="R46" i="100"/>
  <c r="R324" i="100"/>
  <c r="R91" i="100"/>
  <c r="R95" i="100"/>
  <c r="R113" i="100"/>
  <c r="P125" i="100"/>
  <c r="P127" i="100" s="1"/>
  <c r="H15" i="63" s="1"/>
  <c r="R63" i="100"/>
  <c r="R108" i="100"/>
  <c r="R50" i="100"/>
  <c r="R65" i="100"/>
  <c r="R384" i="100"/>
  <c r="R57" i="100"/>
  <c r="R48" i="100"/>
  <c r="R106" i="100"/>
  <c r="R66" i="100"/>
  <c r="R98" i="100"/>
  <c r="R310" i="100"/>
  <c r="R52" i="100"/>
  <c r="R44" i="100"/>
  <c r="R78" i="100"/>
  <c r="R28" i="100"/>
  <c r="U28" i="100" s="1"/>
  <c r="R92" i="100"/>
  <c r="R104" i="100"/>
  <c r="R192" i="100"/>
  <c r="R103" i="100"/>
  <c r="R39" i="100"/>
  <c r="R317" i="100"/>
  <c r="R275" i="100"/>
  <c r="R285" i="100"/>
  <c r="R299" i="100"/>
  <c r="R295" i="100"/>
  <c r="R193" i="100"/>
  <c r="R287" i="100"/>
  <c r="R277" i="100"/>
  <c r="R301" i="100"/>
  <c r="R235" i="100"/>
  <c r="R137" i="100"/>
  <c r="R309" i="100"/>
  <c r="R323" i="100"/>
  <c r="R305" i="100"/>
  <c r="R239" i="100"/>
  <c r="R244" i="100"/>
  <c r="R271" i="100"/>
  <c r="R284" i="100"/>
  <c r="U284" i="100" s="1"/>
  <c r="R194" i="100"/>
  <c r="R187" i="100"/>
  <c r="R282" i="100"/>
  <c r="U282" i="100" s="1"/>
  <c r="R327" i="100"/>
  <c r="R320" i="100"/>
  <c r="R156" i="100"/>
  <c r="R163" i="100" s="1"/>
  <c r="R165" i="100" s="1"/>
  <c r="R322" i="100"/>
  <c r="R314" i="100"/>
  <c r="R32" i="100"/>
  <c r="R242" i="100"/>
  <c r="R221" i="100"/>
  <c r="R234" i="100"/>
  <c r="R191" i="100"/>
  <c r="R22" i="100"/>
  <c r="R243" i="100"/>
  <c r="R27" i="100"/>
  <c r="R319" i="100"/>
  <c r="R29" i="100"/>
  <c r="R246" i="100"/>
  <c r="R276" i="100"/>
  <c r="R26" i="100"/>
  <c r="R31" i="100"/>
  <c r="R380" i="100"/>
  <c r="R286" i="100"/>
  <c r="R20" i="100"/>
  <c r="R292" i="100"/>
  <c r="R230" i="100"/>
  <c r="R231" i="100"/>
  <c r="R17" i="100"/>
  <c r="R240" i="100"/>
  <c r="R36" i="100"/>
  <c r="R268" i="100"/>
  <c r="R233" i="100"/>
  <c r="AF19" i="100"/>
  <c r="R236" i="100"/>
  <c r="T18" i="100"/>
  <c r="Y18" i="100" s="1"/>
  <c r="R18" i="100"/>
  <c r="R228" i="100"/>
  <c r="R245" i="100"/>
  <c r="R237" i="100"/>
  <c r="M28" i="77"/>
  <c r="L28" i="77"/>
  <c r="K28" i="77"/>
  <c r="J28" i="77"/>
  <c r="I28" i="77"/>
  <c r="H28" i="77"/>
  <c r="G28" i="77"/>
  <c r="F28" i="77"/>
  <c r="E28" i="77"/>
  <c r="D28" i="77"/>
  <c r="C28" i="77"/>
  <c r="B28" i="77"/>
  <c r="P18" i="7"/>
  <c r="P16" i="7"/>
  <c r="R215" i="100" l="1"/>
  <c r="H21" i="63"/>
  <c r="R329" i="100"/>
  <c r="U125" i="100"/>
  <c r="U127" i="100" s="1"/>
  <c r="U375" i="100"/>
  <c r="U377" i="100" s="1"/>
  <c r="D22" i="63"/>
  <c r="X260" i="100"/>
  <c r="R386" i="100"/>
  <c r="P388" i="100"/>
  <c r="R375" i="100"/>
  <c r="R377" i="100" s="1"/>
  <c r="R255" i="100"/>
  <c r="R257" i="100" s="1"/>
  <c r="R217" i="100"/>
  <c r="R181" i="100"/>
  <c r="R183" i="100" s="1"/>
  <c r="R150" i="100"/>
  <c r="R152" i="100" s="1"/>
  <c r="R125" i="100"/>
  <c r="R127" i="100" s="1"/>
  <c r="AF18" i="100"/>
  <c r="V39" i="49"/>
  <c r="Q40" i="49"/>
  <c r="R40" i="49"/>
  <c r="T40" i="49"/>
  <c r="P38" i="49"/>
  <c r="U38" i="49" s="1"/>
  <c r="V38" i="49" s="1"/>
  <c r="P37" i="49"/>
  <c r="U37" i="49"/>
  <c r="V37" i="49" s="1"/>
  <c r="V36" i="49"/>
  <c r="U31" i="49"/>
  <c r="V31" i="49" s="1"/>
  <c r="U32" i="49"/>
  <c r="V32" i="49" s="1"/>
  <c r="U33" i="49"/>
  <c r="V33" i="49" s="1"/>
  <c r="U34" i="49"/>
  <c r="V34" i="49" s="1"/>
  <c r="U35" i="49"/>
  <c r="V35" i="49" s="1"/>
  <c r="U36" i="49"/>
  <c r="S30" i="49"/>
  <c r="U30" i="49" s="1"/>
  <c r="V30" i="49" s="1"/>
  <c r="P29" i="49"/>
  <c r="U29" i="49" s="1"/>
  <c r="V29" i="49" s="1"/>
  <c r="P28" i="49"/>
  <c r="P40" i="49" s="1"/>
  <c r="P22" i="49"/>
  <c r="U22" i="49" s="1"/>
  <c r="V22" i="49" s="1"/>
  <c r="P21" i="49"/>
  <c r="U21" i="49" s="1"/>
  <c r="V21" i="49" s="1"/>
  <c r="P20" i="49"/>
  <c r="U20" i="49" s="1"/>
  <c r="V20" i="49" s="1"/>
  <c r="U15" i="49"/>
  <c r="V15" i="49" s="1"/>
  <c r="U16" i="49"/>
  <c r="V16" i="49" s="1"/>
  <c r="U17" i="49"/>
  <c r="V17" i="49" s="1"/>
  <c r="U18" i="49"/>
  <c r="V18" i="49" s="1"/>
  <c r="U19" i="49"/>
  <c r="V19" i="49" s="1"/>
  <c r="T12" i="49"/>
  <c r="T23" i="49" s="1"/>
  <c r="P12" i="49"/>
  <c r="U12" i="49" s="1"/>
  <c r="V12" i="49" s="1"/>
  <c r="P11" i="49"/>
  <c r="U11" i="49" s="1"/>
  <c r="V11" i="49" s="1"/>
  <c r="S13" i="49"/>
  <c r="U13" i="49" s="1"/>
  <c r="V13" i="49" s="1"/>
  <c r="S14" i="49"/>
  <c r="U14" i="49" s="1"/>
  <c r="V14" i="49" s="1"/>
  <c r="U24" i="49"/>
  <c r="F12" i="54"/>
  <c r="P390" i="100" l="1"/>
  <c r="P391" i="100" s="1"/>
  <c r="H22" i="63"/>
  <c r="Y260" i="100"/>
  <c r="R388" i="100"/>
  <c r="U28" i="49"/>
  <c r="V28" i="49" s="1"/>
  <c r="S40" i="49"/>
  <c r="B32" i="77"/>
  <c r="B30" i="77"/>
  <c r="C64" i="77"/>
  <c r="C60" i="77"/>
  <c r="A40" i="77"/>
  <c r="A47" i="77"/>
  <c r="B33" i="77"/>
  <c r="D29" i="77"/>
  <c r="C27" i="77"/>
  <c r="D27" i="77"/>
  <c r="E27" i="77"/>
  <c r="F27" i="77"/>
  <c r="G27" i="77"/>
  <c r="H27" i="77"/>
  <c r="I27" i="77"/>
  <c r="J27" i="77"/>
  <c r="K27" i="77"/>
  <c r="L27" i="77"/>
  <c r="M27" i="77"/>
  <c r="B27" i="77"/>
  <c r="B29" i="77" s="1"/>
  <c r="B31" i="77" s="1"/>
  <c r="Z163" i="100" l="1"/>
  <c r="Z165" i="100" s="1"/>
  <c r="P17" i="63" s="1"/>
  <c r="AF260" i="100"/>
  <c r="I39" i="96"/>
  <c r="I26" i="96"/>
  <c r="K12" i="96"/>
  <c r="K38" i="96"/>
  <c r="I28" i="96"/>
  <c r="K10" i="96"/>
  <c r="I9" i="96"/>
  <c r="K9" i="96" s="1"/>
  <c r="K24" i="96"/>
  <c r="I37" i="96"/>
  <c r="K35" i="96"/>
  <c r="K13" i="96"/>
  <c r="I33" i="96"/>
  <c r="K33" i="96" s="1"/>
  <c r="U35" i="26" l="1"/>
  <c r="U34" i="26"/>
  <c r="U33" i="26"/>
  <c r="U32" i="26"/>
  <c r="U31" i="26"/>
  <c r="U27" i="26"/>
  <c r="U29" i="26" s="1"/>
  <c r="U25" i="26"/>
  <c r="U12" i="26"/>
  <c r="S25" i="26"/>
  <c r="Q25" i="26"/>
  <c r="O25" i="26"/>
  <c r="M25" i="26"/>
  <c r="K25" i="26"/>
  <c r="I25" i="26"/>
  <c r="G25" i="26"/>
  <c r="E25" i="26"/>
  <c r="C25" i="26"/>
  <c r="C23" i="26"/>
  <c r="C19" i="26"/>
  <c r="C17" i="26"/>
  <c r="G9" i="54"/>
  <c r="F11" i="54"/>
  <c r="F9" i="54"/>
  <c r="B9" i="66"/>
  <c r="C21" i="79"/>
  <c r="C20" i="79"/>
  <c r="C19" i="79"/>
  <c r="C18" i="79"/>
  <c r="C17" i="79"/>
  <c r="C16" i="79"/>
  <c r="C15" i="79"/>
  <c r="C14" i="79"/>
  <c r="C13" i="79"/>
  <c r="C12" i="79"/>
  <c r="C11" i="79"/>
  <c r="C10" i="79"/>
  <c r="B21" i="79"/>
  <c r="B20" i="79"/>
  <c r="B19" i="79"/>
  <c r="B18" i="79"/>
  <c r="B17" i="79"/>
  <c r="B16" i="79"/>
  <c r="B15" i="79"/>
  <c r="B14" i="79"/>
  <c r="B13" i="79"/>
  <c r="B12" i="79"/>
  <c r="B11" i="79"/>
  <c r="B10" i="79"/>
  <c r="B23" i="79" s="1"/>
  <c r="C23" i="79" l="1"/>
  <c r="C24" i="79" s="1"/>
  <c r="D12" i="86" l="1"/>
  <c r="D11" i="86"/>
  <c r="D10" i="86"/>
  <c r="D9" i="86"/>
  <c r="D8" i="86"/>
  <c r="D17" i="86" s="1"/>
  <c r="D19" i="86" s="1"/>
  <c r="D14" i="86"/>
  <c r="D13" i="86"/>
  <c r="N77" i="28" l="1"/>
  <c r="A47" i="28"/>
  <c r="A47" i="29" s="1"/>
  <c r="W74" i="28"/>
  <c r="W72" i="28"/>
  <c r="M54" i="28"/>
  <c r="M53" i="28"/>
  <c r="M20" i="28"/>
  <c r="K81" i="28"/>
  <c r="M80" i="28"/>
  <c r="K80" i="28"/>
  <c r="N80" i="28" s="1"/>
  <c r="K77" i="28"/>
  <c r="K75" i="28"/>
  <c r="M49" i="28"/>
  <c r="K49" i="28"/>
  <c r="K76" i="28"/>
  <c r="K79" i="28"/>
  <c r="M43" i="28"/>
  <c r="K78" i="28"/>
  <c r="K37" i="28"/>
  <c r="M38" i="28"/>
  <c r="M36" i="28"/>
  <c r="M37" i="28"/>
  <c r="M35" i="28"/>
  <c r="N36" i="49"/>
  <c r="N34" i="49"/>
  <c r="N14" i="49"/>
  <c r="W75" i="28" l="1"/>
  <c r="W71" i="28"/>
  <c r="W49" i="28"/>
  <c r="W76" i="28"/>
  <c r="W80" i="28"/>
  <c r="W77" i="28"/>
  <c r="W81" i="28"/>
  <c r="W79" i="28"/>
  <c r="W73" i="28"/>
  <c r="W78" i="28"/>
  <c r="W37" i="28"/>
  <c r="P80" i="28"/>
  <c r="U80" i="28" s="1"/>
  <c r="O80" i="28"/>
  <c r="N37" i="28"/>
  <c r="O37" i="28"/>
  <c r="G11" i="49"/>
  <c r="T80" i="28" l="1"/>
  <c r="P37" i="28"/>
  <c r="U37" i="28" s="1"/>
  <c r="R80" i="28"/>
  <c r="M80" i="29" s="1"/>
  <c r="N80" i="29" s="1"/>
  <c r="Q82" i="28"/>
  <c r="A75" i="28"/>
  <c r="A75" i="29" s="1"/>
  <c r="M81" i="28"/>
  <c r="M79" i="28"/>
  <c r="N79" i="28" s="1"/>
  <c r="M78" i="28"/>
  <c r="N78" i="28" s="1"/>
  <c r="O77" i="28"/>
  <c r="K47" i="28"/>
  <c r="W47" i="28" s="1"/>
  <c r="A36" i="28"/>
  <c r="A36" i="29" s="1"/>
  <c r="M16" i="28"/>
  <c r="M60" i="28"/>
  <c r="M61" i="28"/>
  <c r="M58" i="28"/>
  <c r="A77" i="28"/>
  <c r="A77" i="29" s="1"/>
  <c r="M77" i="28"/>
  <c r="A82" i="28"/>
  <c r="A72" i="28"/>
  <c r="A72" i="29" s="1"/>
  <c r="A73" i="28"/>
  <c r="A73" i="29" s="1"/>
  <c r="A74" i="28"/>
  <c r="A74" i="29" s="1"/>
  <c r="A76" i="28"/>
  <c r="A76" i="29" s="1"/>
  <c r="A49" i="28"/>
  <c r="A49" i="29" s="1"/>
  <c r="A71" i="28"/>
  <c r="A71" i="29" s="1"/>
  <c r="M47" i="28"/>
  <c r="M76" i="28"/>
  <c r="M75" i="28"/>
  <c r="A66" i="28"/>
  <c r="A66" i="29" s="1"/>
  <c r="A67" i="28"/>
  <c r="A67" i="29" s="1"/>
  <c r="A68" i="28"/>
  <c r="A68" i="29" s="1"/>
  <c r="A65" i="28"/>
  <c r="A65" i="29" s="1"/>
  <c r="A59" i="28"/>
  <c r="A59" i="29" s="1"/>
  <c r="A60" i="28"/>
  <c r="A60" i="29" s="1"/>
  <c r="A61" i="28"/>
  <c r="A61" i="29" s="1"/>
  <c r="A62" i="28"/>
  <c r="A62" i="29" s="1"/>
  <c r="A58" i="28"/>
  <c r="A58" i="29" s="1"/>
  <c r="I54" i="28"/>
  <c r="W54" i="28" s="1"/>
  <c r="A30" i="28"/>
  <c r="A30" i="29" s="1"/>
  <c r="A31" i="28"/>
  <c r="A31" i="29" s="1"/>
  <c r="A32" i="28"/>
  <c r="A32" i="29" s="1"/>
  <c r="A33" i="28"/>
  <c r="A33" i="29" s="1"/>
  <c r="A34" i="28"/>
  <c r="A34" i="29" s="1"/>
  <c r="A35" i="28"/>
  <c r="A35" i="29" s="1"/>
  <c r="A38" i="28"/>
  <c r="A38" i="29" s="1"/>
  <c r="A39" i="28"/>
  <c r="A39" i="29" s="1"/>
  <c r="A40" i="28"/>
  <c r="A40" i="29" s="1"/>
  <c r="A41" i="28"/>
  <c r="A41" i="29" s="1"/>
  <c r="A42" i="28"/>
  <c r="A42" i="29" s="1"/>
  <c r="A43" i="28"/>
  <c r="A43" i="29" s="1"/>
  <c r="A44" i="28"/>
  <c r="A44" i="29" s="1"/>
  <c r="A45" i="28"/>
  <c r="A45" i="29" s="1"/>
  <c r="A46" i="28"/>
  <c r="A46" i="29" s="1"/>
  <c r="A48" i="28"/>
  <c r="A48" i="29" s="1"/>
  <c r="A50" i="28"/>
  <c r="A50" i="29" s="1"/>
  <c r="A51" i="28"/>
  <c r="A51" i="29" s="1"/>
  <c r="A52" i="28"/>
  <c r="A52" i="29" s="1"/>
  <c r="A53" i="28"/>
  <c r="A53" i="29" s="1"/>
  <c r="A54" i="28"/>
  <c r="A54" i="29" s="1"/>
  <c r="A55" i="28"/>
  <c r="A55" i="29" s="1"/>
  <c r="M14" i="28"/>
  <c r="K14" i="28"/>
  <c r="W14" i="28" s="1"/>
  <c r="C37" i="71"/>
  <c r="C12" i="71"/>
  <c r="O70" i="7"/>
  <c r="O78" i="7"/>
  <c r="B5" i="7"/>
  <c r="C12" i="7"/>
  <c r="D12" i="7"/>
  <c r="D25" i="7" s="1"/>
  <c r="E12" i="7"/>
  <c r="F12" i="7"/>
  <c r="G12" i="7"/>
  <c r="H12" i="7"/>
  <c r="I12" i="7"/>
  <c r="J12" i="7"/>
  <c r="J25" i="7" s="1"/>
  <c r="K12" i="7"/>
  <c r="L12" i="7"/>
  <c r="M12" i="7"/>
  <c r="N12" i="7"/>
  <c r="O12" i="7"/>
  <c r="Q12" i="7" s="1"/>
  <c r="C13" i="7"/>
  <c r="D13" i="7"/>
  <c r="E13" i="7"/>
  <c r="F13" i="7"/>
  <c r="G13" i="7"/>
  <c r="H13" i="7"/>
  <c r="I13" i="7"/>
  <c r="J13" i="7"/>
  <c r="K13" i="7"/>
  <c r="L13" i="7"/>
  <c r="M13" i="7"/>
  <c r="N13" i="7"/>
  <c r="O13" i="7" s="1"/>
  <c r="C14" i="7"/>
  <c r="D14" i="7"/>
  <c r="E14" i="7"/>
  <c r="O14" i="7" s="1"/>
  <c r="Q14" i="7" s="1"/>
  <c r="S14" i="7" s="1"/>
  <c r="F14" i="7"/>
  <c r="G14" i="7"/>
  <c r="H14" i="7"/>
  <c r="I14" i="7"/>
  <c r="J14" i="7"/>
  <c r="K14" i="7"/>
  <c r="L14" i="7"/>
  <c r="M14" i="7"/>
  <c r="N14" i="7"/>
  <c r="C15" i="7"/>
  <c r="D15" i="7"/>
  <c r="E15" i="7"/>
  <c r="F15" i="7"/>
  <c r="G15" i="7"/>
  <c r="H15" i="7"/>
  <c r="I15" i="7"/>
  <c r="J15" i="7"/>
  <c r="K15" i="7"/>
  <c r="L15" i="7"/>
  <c r="M15" i="7"/>
  <c r="N15" i="7"/>
  <c r="O15" i="7"/>
  <c r="Q15" i="7" s="1"/>
  <c r="S15" i="7" s="1"/>
  <c r="C16" i="7"/>
  <c r="D16" i="7"/>
  <c r="E16" i="7"/>
  <c r="F16" i="7"/>
  <c r="G16" i="7"/>
  <c r="H16" i="7"/>
  <c r="I16" i="7"/>
  <c r="J16" i="7"/>
  <c r="K16" i="7"/>
  <c r="L16" i="7"/>
  <c r="O16" i="7" s="1"/>
  <c r="Q16" i="7" s="1"/>
  <c r="S16" i="7" s="1"/>
  <c r="M16" i="7"/>
  <c r="N16" i="7"/>
  <c r="C17" i="7"/>
  <c r="D17" i="7"/>
  <c r="E17" i="7"/>
  <c r="F17" i="7"/>
  <c r="G17" i="7"/>
  <c r="H17" i="7"/>
  <c r="I17" i="7"/>
  <c r="J17" i="7"/>
  <c r="K17" i="7"/>
  <c r="L17" i="7"/>
  <c r="M17" i="7"/>
  <c r="N17" i="7"/>
  <c r="O17" i="7"/>
  <c r="Q17" i="7" s="1"/>
  <c r="S17" i="7" s="1"/>
  <c r="C18" i="7"/>
  <c r="D18" i="7"/>
  <c r="E18" i="7"/>
  <c r="E25" i="7" s="1"/>
  <c r="F18" i="7"/>
  <c r="G18" i="7"/>
  <c r="H18" i="7"/>
  <c r="I18" i="7"/>
  <c r="J18" i="7"/>
  <c r="K18" i="7"/>
  <c r="L18" i="7"/>
  <c r="O18" i="7" s="1"/>
  <c r="Q18" i="7" s="1"/>
  <c r="S18" i="7" s="1"/>
  <c r="M18" i="7"/>
  <c r="N18" i="7"/>
  <c r="C19" i="7"/>
  <c r="D19" i="7"/>
  <c r="E19" i="7"/>
  <c r="F19" i="7"/>
  <c r="G19" i="7"/>
  <c r="H19" i="7"/>
  <c r="I19" i="7"/>
  <c r="J19" i="7"/>
  <c r="K19" i="7"/>
  <c r="L19" i="7"/>
  <c r="M19" i="7"/>
  <c r="N19" i="7"/>
  <c r="O19" i="7"/>
  <c r="Q19" i="7" s="1"/>
  <c r="S19" i="7" s="1"/>
  <c r="C20" i="7"/>
  <c r="D20" i="7"/>
  <c r="E20" i="7"/>
  <c r="F20" i="7"/>
  <c r="G20" i="7"/>
  <c r="H20" i="7"/>
  <c r="I20" i="7"/>
  <c r="J20" i="7"/>
  <c r="K20" i="7"/>
  <c r="K25" i="7" s="1"/>
  <c r="L20" i="7"/>
  <c r="O20" i="7" s="1"/>
  <c r="Q20" i="7" s="1"/>
  <c r="S20" i="7" s="1"/>
  <c r="M20" i="7"/>
  <c r="N20" i="7"/>
  <c r="C21" i="7"/>
  <c r="D21" i="7"/>
  <c r="E21" i="7"/>
  <c r="F21" i="7"/>
  <c r="G21" i="7"/>
  <c r="H21" i="7"/>
  <c r="I21" i="7"/>
  <c r="J21" i="7"/>
  <c r="K21" i="7"/>
  <c r="L21" i="7"/>
  <c r="M21" i="7"/>
  <c r="N21" i="7"/>
  <c r="O21" i="7"/>
  <c r="Q21" i="7" s="1"/>
  <c r="S21" i="7" s="1"/>
  <c r="C22" i="7"/>
  <c r="D22" i="7"/>
  <c r="E22" i="7"/>
  <c r="F22" i="7"/>
  <c r="G22" i="7"/>
  <c r="H22" i="7"/>
  <c r="I22" i="7"/>
  <c r="J22" i="7"/>
  <c r="K22" i="7"/>
  <c r="L22" i="7"/>
  <c r="M22" i="7"/>
  <c r="N22" i="7"/>
  <c r="O22" i="7"/>
  <c r="Q22" i="7" s="1"/>
  <c r="S22" i="7" s="1"/>
  <c r="C23" i="7"/>
  <c r="D23" i="7"/>
  <c r="E23" i="7"/>
  <c r="F23" i="7"/>
  <c r="G23" i="7"/>
  <c r="H23" i="7"/>
  <c r="I23" i="7"/>
  <c r="J23" i="7"/>
  <c r="K23" i="7"/>
  <c r="L23" i="7"/>
  <c r="O23" i="7" s="1"/>
  <c r="Q23" i="7" s="1"/>
  <c r="S23" i="7" s="1"/>
  <c r="M23" i="7"/>
  <c r="N23" i="7"/>
  <c r="C24" i="7"/>
  <c r="D24" i="7"/>
  <c r="E24" i="7"/>
  <c r="F24" i="7"/>
  <c r="G24" i="7"/>
  <c r="H24" i="7"/>
  <c r="I24" i="7"/>
  <c r="J24" i="7"/>
  <c r="K24" i="7"/>
  <c r="L24" i="7"/>
  <c r="M24" i="7"/>
  <c r="N24" i="7"/>
  <c r="O24" i="7"/>
  <c r="Q24" i="7" s="1"/>
  <c r="S24" i="7" s="1"/>
  <c r="C25" i="7"/>
  <c r="F25" i="7"/>
  <c r="G25" i="7"/>
  <c r="H25" i="7"/>
  <c r="I25" i="7"/>
  <c r="L25" i="7"/>
  <c r="M25" i="7"/>
  <c r="N25" i="7"/>
  <c r="P25" i="7"/>
  <c r="C28" i="7"/>
  <c r="D28" i="7"/>
  <c r="E28" i="7"/>
  <c r="O28" i="7" s="1"/>
  <c r="Q28" i="7" s="1"/>
  <c r="F28" i="7"/>
  <c r="G28" i="7"/>
  <c r="H28" i="7"/>
  <c r="I28" i="7"/>
  <c r="J28" i="7"/>
  <c r="K28" i="7"/>
  <c r="L28" i="7"/>
  <c r="M28" i="7"/>
  <c r="N28" i="7"/>
  <c r="C29" i="7"/>
  <c r="D29" i="7"/>
  <c r="O29" i="7" s="1"/>
  <c r="Q29" i="7" s="1"/>
  <c r="S29" i="7" s="1"/>
  <c r="E29" i="7"/>
  <c r="F29" i="7"/>
  <c r="G29" i="7"/>
  <c r="H29" i="7"/>
  <c r="I29" i="7"/>
  <c r="J29" i="7"/>
  <c r="K29" i="7"/>
  <c r="L29" i="7"/>
  <c r="M29" i="7"/>
  <c r="N29" i="7"/>
  <c r="C30" i="7"/>
  <c r="D30" i="7"/>
  <c r="E30" i="7"/>
  <c r="F30" i="7"/>
  <c r="G30" i="7"/>
  <c r="H30" i="7"/>
  <c r="I30" i="7"/>
  <c r="J30" i="7"/>
  <c r="K30" i="7"/>
  <c r="L30" i="7"/>
  <c r="M30" i="7"/>
  <c r="N30" i="7"/>
  <c r="O30" i="7" s="1"/>
  <c r="Q30" i="7" s="1"/>
  <c r="S30" i="7" s="1"/>
  <c r="C31" i="7"/>
  <c r="D31" i="7"/>
  <c r="O31" i="7" s="1"/>
  <c r="Q31" i="7" s="1"/>
  <c r="S31" i="7" s="1"/>
  <c r="E31" i="7"/>
  <c r="F31" i="7"/>
  <c r="G31" i="7"/>
  <c r="H31" i="7"/>
  <c r="I31" i="7"/>
  <c r="J31" i="7"/>
  <c r="K31" i="7"/>
  <c r="L31" i="7"/>
  <c r="M31" i="7"/>
  <c r="N31" i="7"/>
  <c r="C32" i="7"/>
  <c r="C69" i="7" s="1"/>
  <c r="D32" i="7"/>
  <c r="E32" i="7"/>
  <c r="F32" i="7"/>
  <c r="G32" i="7"/>
  <c r="H32" i="7"/>
  <c r="I32" i="7"/>
  <c r="I69" i="7" s="1"/>
  <c r="I70" i="7" s="1"/>
  <c r="I78" i="7" s="1"/>
  <c r="J32" i="7"/>
  <c r="K32" i="7"/>
  <c r="L32" i="7"/>
  <c r="M32" i="7"/>
  <c r="N32" i="7"/>
  <c r="O32" i="7"/>
  <c r="Q32" i="7" s="1"/>
  <c r="S32" i="7" s="1"/>
  <c r="C33" i="7"/>
  <c r="D33" i="7"/>
  <c r="O33" i="7" s="1"/>
  <c r="Q33" i="7" s="1"/>
  <c r="S33" i="7" s="1"/>
  <c r="E33" i="7"/>
  <c r="F33" i="7"/>
  <c r="G33" i="7"/>
  <c r="H33" i="7"/>
  <c r="I33" i="7"/>
  <c r="J33" i="7"/>
  <c r="K33" i="7"/>
  <c r="L33" i="7"/>
  <c r="M33" i="7"/>
  <c r="N33" i="7"/>
  <c r="C34" i="7"/>
  <c r="D34" i="7"/>
  <c r="E34" i="7"/>
  <c r="F34" i="7"/>
  <c r="G34" i="7"/>
  <c r="H34" i="7"/>
  <c r="I34" i="7"/>
  <c r="J34" i="7"/>
  <c r="K34" i="7"/>
  <c r="L34" i="7"/>
  <c r="M34" i="7"/>
  <c r="N34" i="7"/>
  <c r="O34" i="7"/>
  <c r="Q34" i="7" s="1"/>
  <c r="S34" i="7" s="1"/>
  <c r="C35" i="7"/>
  <c r="D35" i="7"/>
  <c r="O35" i="7" s="1"/>
  <c r="Q35" i="7" s="1"/>
  <c r="S35" i="7" s="1"/>
  <c r="E35" i="7"/>
  <c r="F35" i="7"/>
  <c r="G35" i="7"/>
  <c r="H35" i="7"/>
  <c r="I35" i="7"/>
  <c r="J35" i="7"/>
  <c r="K35" i="7"/>
  <c r="L35" i="7"/>
  <c r="M35" i="7"/>
  <c r="N35" i="7"/>
  <c r="C36" i="7"/>
  <c r="D36" i="7"/>
  <c r="E36" i="7"/>
  <c r="F36" i="7"/>
  <c r="G36" i="7"/>
  <c r="H36" i="7"/>
  <c r="I36" i="7"/>
  <c r="J36" i="7"/>
  <c r="K36" i="7"/>
  <c r="L36" i="7"/>
  <c r="M36" i="7"/>
  <c r="N36" i="7"/>
  <c r="O36" i="7"/>
  <c r="Q36" i="7" s="1"/>
  <c r="S36" i="7" s="1"/>
  <c r="C37" i="7"/>
  <c r="D37" i="7"/>
  <c r="O37" i="7" s="1"/>
  <c r="Q37" i="7" s="1"/>
  <c r="S37" i="7" s="1"/>
  <c r="E37" i="7"/>
  <c r="F37" i="7"/>
  <c r="G37" i="7"/>
  <c r="H37" i="7"/>
  <c r="I37" i="7"/>
  <c r="J37" i="7"/>
  <c r="K37" i="7"/>
  <c r="L37" i="7"/>
  <c r="M37" i="7"/>
  <c r="N37" i="7"/>
  <c r="C38" i="7"/>
  <c r="D38" i="7"/>
  <c r="E38" i="7"/>
  <c r="F38" i="7"/>
  <c r="G38" i="7"/>
  <c r="H38" i="7"/>
  <c r="I38" i="7"/>
  <c r="J38" i="7"/>
  <c r="K38" i="7"/>
  <c r="L38" i="7"/>
  <c r="M38" i="7"/>
  <c r="N38" i="7"/>
  <c r="O38" i="7"/>
  <c r="Q38" i="7" s="1"/>
  <c r="S38" i="7" s="1"/>
  <c r="C39" i="7"/>
  <c r="D39" i="7"/>
  <c r="O39" i="7" s="1"/>
  <c r="Q39" i="7" s="1"/>
  <c r="S39" i="7" s="1"/>
  <c r="E39" i="7"/>
  <c r="F39" i="7"/>
  <c r="G39" i="7"/>
  <c r="H39" i="7"/>
  <c r="I39" i="7"/>
  <c r="J39" i="7"/>
  <c r="K39" i="7"/>
  <c r="L39" i="7"/>
  <c r="M39" i="7"/>
  <c r="N39" i="7"/>
  <c r="O40" i="7"/>
  <c r="Q40" i="7" s="1"/>
  <c r="S40" i="7" s="1"/>
  <c r="C41" i="7"/>
  <c r="D41" i="7"/>
  <c r="O41" i="7" s="1"/>
  <c r="Q41" i="7" s="1"/>
  <c r="S41" i="7" s="1"/>
  <c r="E41" i="7"/>
  <c r="F41" i="7"/>
  <c r="G41" i="7"/>
  <c r="H41" i="7"/>
  <c r="I41" i="7"/>
  <c r="J41" i="7"/>
  <c r="K41" i="7"/>
  <c r="L41" i="7"/>
  <c r="M41" i="7"/>
  <c r="N41" i="7"/>
  <c r="C42" i="7"/>
  <c r="D42" i="7"/>
  <c r="E42" i="7"/>
  <c r="F42" i="7"/>
  <c r="G42" i="7"/>
  <c r="H42" i="7"/>
  <c r="I42" i="7"/>
  <c r="J42" i="7"/>
  <c r="K42" i="7"/>
  <c r="L42" i="7"/>
  <c r="M42" i="7"/>
  <c r="N42" i="7"/>
  <c r="O42" i="7"/>
  <c r="Q42" i="7" s="1"/>
  <c r="S42" i="7" s="1"/>
  <c r="C43" i="7"/>
  <c r="D43" i="7"/>
  <c r="O43" i="7" s="1"/>
  <c r="Q43" i="7" s="1"/>
  <c r="S43" i="7" s="1"/>
  <c r="E43" i="7"/>
  <c r="F43" i="7"/>
  <c r="G43" i="7"/>
  <c r="H43" i="7"/>
  <c r="I43" i="7"/>
  <c r="J43" i="7"/>
  <c r="K43" i="7"/>
  <c r="L43" i="7"/>
  <c r="M43" i="7"/>
  <c r="N43" i="7"/>
  <c r="C44" i="7"/>
  <c r="D44" i="7"/>
  <c r="E44" i="7"/>
  <c r="F44" i="7"/>
  <c r="G44" i="7"/>
  <c r="H44" i="7"/>
  <c r="I44" i="7"/>
  <c r="J44" i="7"/>
  <c r="K44" i="7"/>
  <c r="L44" i="7"/>
  <c r="M44" i="7"/>
  <c r="N44" i="7"/>
  <c r="O44" i="7"/>
  <c r="Q44" i="7" s="1"/>
  <c r="S44" i="7" s="1"/>
  <c r="C45" i="7"/>
  <c r="D45" i="7"/>
  <c r="O45" i="7" s="1"/>
  <c r="Q45" i="7" s="1"/>
  <c r="S45" i="7" s="1"/>
  <c r="E45" i="7"/>
  <c r="F45" i="7"/>
  <c r="G45" i="7"/>
  <c r="H45" i="7"/>
  <c r="I45" i="7"/>
  <c r="J45" i="7"/>
  <c r="K45" i="7"/>
  <c r="L45" i="7"/>
  <c r="M45" i="7"/>
  <c r="N45" i="7"/>
  <c r="C46" i="7"/>
  <c r="D46" i="7"/>
  <c r="E46" i="7"/>
  <c r="F46" i="7"/>
  <c r="G46" i="7"/>
  <c r="H46" i="7"/>
  <c r="I46" i="7"/>
  <c r="J46" i="7"/>
  <c r="K46" i="7"/>
  <c r="L46" i="7"/>
  <c r="M46" i="7"/>
  <c r="N46" i="7"/>
  <c r="O46" i="7"/>
  <c r="Q46" i="7" s="1"/>
  <c r="S46" i="7" s="1"/>
  <c r="C47" i="7"/>
  <c r="D47" i="7"/>
  <c r="O47" i="7" s="1"/>
  <c r="Q47" i="7" s="1"/>
  <c r="S47" i="7" s="1"/>
  <c r="E47" i="7"/>
  <c r="F47" i="7"/>
  <c r="G47" i="7"/>
  <c r="H47" i="7"/>
  <c r="I47" i="7"/>
  <c r="J47" i="7"/>
  <c r="K47" i="7"/>
  <c r="L47" i="7"/>
  <c r="M47" i="7"/>
  <c r="N47" i="7"/>
  <c r="C48" i="7"/>
  <c r="D48" i="7"/>
  <c r="E48" i="7"/>
  <c r="F48" i="7"/>
  <c r="G48" i="7"/>
  <c r="H48" i="7"/>
  <c r="I48" i="7"/>
  <c r="J48" i="7"/>
  <c r="K48" i="7"/>
  <c r="L48" i="7"/>
  <c r="M48" i="7"/>
  <c r="N48" i="7"/>
  <c r="O48" i="7"/>
  <c r="Q48" i="7" s="1"/>
  <c r="S48" i="7" s="1"/>
  <c r="O49" i="7"/>
  <c r="Q49" i="7"/>
  <c r="S49" i="7"/>
  <c r="C50" i="7"/>
  <c r="D50" i="7"/>
  <c r="E50" i="7"/>
  <c r="F50" i="7"/>
  <c r="G50" i="7"/>
  <c r="H50" i="7"/>
  <c r="I50" i="7"/>
  <c r="J50" i="7"/>
  <c r="K50" i="7"/>
  <c r="L50" i="7"/>
  <c r="M50" i="7"/>
  <c r="N50" i="7"/>
  <c r="O50" i="7"/>
  <c r="Q50" i="7" s="1"/>
  <c r="S50" i="7" s="1"/>
  <c r="C51" i="7"/>
  <c r="D51" i="7"/>
  <c r="O51" i="7" s="1"/>
  <c r="Q51" i="7" s="1"/>
  <c r="S51" i="7" s="1"/>
  <c r="E51" i="7"/>
  <c r="F51" i="7"/>
  <c r="G51" i="7"/>
  <c r="H51" i="7"/>
  <c r="I51" i="7"/>
  <c r="J51" i="7"/>
  <c r="K51" i="7"/>
  <c r="L51" i="7"/>
  <c r="M51" i="7"/>
  <c r="N51" i="7"/>
  <c r="O52" i="7"/>
  <c r="Q52" i="7" s="1"/>
  <c r="S52" i="7" s="1"/>
  <c r="C53" i="7"/>
  <c r="D53" i="7"/>
  <c r="O53" i="7" s="1"/>
  <c r="Q53" i="7" s="1"/>
  <c r="S53" i="7" s="1"/>
  <c r="E53" i="7"/>
  <c r="F53" i="7"/>
  <c r="G53" i="7"/>
  <c r="H53" i="7"/>
  <c r="I53" i="7"/>
  <c r="J53" i="7"/>
  <c r="K53" i="7"/>
  <c r="L53" i="7"/>
  <c r="M53" i="7"/>
  <c r="N53" i="7"/>
  <c r="C54" i="7"/>
  <c r="D54" i="7"/>
  <c r="D69" i="7" s="1"/>
  <c r="E54" i="7"/>
  <c r="F54" i="7"/>
  <c r="G54" i="7"/>
  <c r="H54" i="7"/>
  <c r="I54" i="7"/>
  <c r="J54" i="7"/>
  <c r="J69" i="7" s="1"/>
  <c r="K54" i="7"/>
  <c r="L54" i="7"/>
  <c r="M54" i="7"/>
  <c r="N54" i="7"/>
  <c r="O54" i="7"/>
  <c r="Q54" i="7" s="1"/>
  <c r="S54" i="7" s="1"/>
  <c r="C55" i="7"/>
  <c r="D55" i="7"/>
  <c r="O55" i="7" s="1"/>
  <c r="Q55" i="7" s="1"/>
  <c r="S55" i="7" s="1"/>
  <c r="E55" i="7"/>
  <c r="F55" i="7"/>
  <c r="G55" i="7"/>
  <c r="H55" i="7"/>
  <c r="I55" i="7"/>
  <c r="J55" i="7"/>
  <c r="K55" i="7"/>
  <c r="L55" i="7"/>
  <c r="M55" i="7"/>
  <c r="N55" i="7"/>
  <c r="C56" i="7"/>
  <c r="D56" i="7"/>
  <c r="E56" i="7"/>
  <c r="F56" i="7"/>
  <c r="G56" i="7"/>
  <c r="H56" i="7"/>
  <c r="I56" i="7"/>
  <c r="J56" i="7"/>
  <c r="K56" i="7"/>
  <c r="L56" i="7"/>
  <c r="M56" i="7"/>
  <c r="N56" i="7"/>
  <c r="O56" i="7"/>
  <c r="Q56" i="7" s="1"/>
  <c r="S56" i="7" s="1"/>
  <c r="C57" i="7"/>
  <c r="D57" i="7"/>
  <c r="O57" i="7" s="1"/>
  <c r="Q57" i="7" s="1"/>
  <c r="S57" i="7" s="1"/>
  <c r="E57" i="7"/>
  <c r="F57" i="7"/>
  <c r="G57" i="7"/>
  <c r="H57" i="7"/>
  <c r="I57" i="7"/>
  <c r="J57" i="7"/>
  <c r="K57" i="7"/>
  <c r="L57" i="7"/>
  <c r="M57" i="7"/>
  <c r="N57" i="7"/>
  <c r="C58" i="7"/>
  <c r="D58" i="7"/>
  <c r="E58" i="7"/>
  <c r="F58" i="7"/>
  <c r="G58" i="7"/>
  <c r="H58" i="7"/>
  <c r="I58" i="7"/>
  <c r="J58" i="7"/>
  <c r="K58" i="7"/>
  <c r="L58" i="7"/>
  <c r="M58" i="7"/>
  <c r="N58" i="7"/>
  <c r="O58" i="7"/>
  <c r="Q58" i="7" s="1"/>
  <c r="S58" i="7" s="1"/>
  <c r="C59" i="7"/>
  <c r="D59" i="7"/>
  <c r="O59" i="7" s="1"/>
  <c r="Q59" i="7" s="1"/>
  <c r="S59" i="7" s="1"/>
  <c r="E59" i="7"/>
  <c r="F59" i="7"/>
  <c r="G59" i="7"/>
  <c r="H59" i="7"/>
  <c r="I59" i="7"/>
  <c r="J59" i="7"/>
  <c r="K59" i="7"/>
  <c r="L59" i="7"/>
  <c r="M59" i="7"/>
  <c r="N59" i="7"/>
  <c r="C60" i="7"/>
  <c r="D60" i="7"/>
  <c r="E60" i="7"/>
  <c r="F60" i="7"/>
  <c r="G60" i="7"/>
  <c r="H60" i="7"/>
  <c r="I60" i="7"/>
  <c r="J60" i="7"/>
  <c r="K60" i="7"/>
  <c r="L60" i="7"/>
  <c r="M60" i="7"/>
  <c r="N60" i="7"/>
  <c r="O60" i="7"/>
  <c r="Q60" i="7" s="1"/>
  <c r="S60" i="7" s="1"/>
  <c r="C61" i="7"/>
  <c r="D61" i="7"/>
  <c r="O61" i="7" s="1"/>
  <c r="Q61" i="7" s="1"/>
  <c r="S61" i="7" s="1"/>
  <c r="E61" i="7"/>
  <c r="F61" i="7"/>
  <c r="G61" i="7"/>
  <c r="H61" i="7"/>
  <c r="I61" i="7"/>
  <c r="J61" i="7"/>
  <c r="K61" i="7"/>
  <c r="L61" i="7"/>
  <c r="M61" i="7"/>
  <c r="N61" i="7"/>
  <c r="C62" i="7"/>
  <c r="D62" i="7"/>
  <c r="E62" i="7"/>
  <c r="E69" i="7" s="1"/>
  <c r="F62" i="7"/>
  <c r="G62" i="7"/>
  <c r="H62" i="7"/>
  <c r="I62" i="7"/>
  <c r="J62" i="7"/>
  <c r="K62" i="7"/>
  <c r="K69" i="7" s="1"/>
  <c r="L62" i="7"/>
  <c r="M62" i="7"/>
  <c r="N62" i="7"/>
  <c r="O62" i="7"/>
  <c r="Q62" i="7" s="1"/>
  <c r="S62" i="7" s="1"/>
  <c r="C63" i="7"/>
  <c r="D63" i="7"/>
  <c r="O63" i="7" s="1"/>
  <c r="Q63" i="7" s="1"/>
  <c r="S63" i="7" s="1"/>
  <c r="E63" i="7"/>
  <c r="F63" i="7"/>
  <c r="G63" i="7"/>
  <c r="H63" i="7"/>
  <c r="I63" i="7"/>
  <c r="J63" i="7"/>
  <c r="K63" i="7"/>
  <c r="L63" i="7"/>
  <c r="M63" i="7"/>
  <c r="N63" i="7"/>
  <c r="C64" i="7"/>
  <c r="D64" i="7"/>
  <c r="E64" i="7"/>
  <c r="F64" i="7"/>
  <c r="G64" i="7"/>
  <c r="H64" i="7"/>
  <c r="I64" i="7"/>
  <c r="J64" i="7"/>
  <c r="K64" i="7"/>
  <c r="L64" i="7"/>
  <c r="M64" i="7"/>
  <c r="N64" i="7"/>
  <c r="O64" i="7"/>
  <c r="Q64" i="7" s="1"/>
  <c r="S64" i="7" s="1"/>
  <c r="C65" i="7"/>
  <c r="D65" i="7"/>
  <c r="O65" i="7" s="1"/>
  <c r="Q65" i="7" s="1"/>
  <c r="S65" i="7" s="1"/>
  <c r="E65" i="7"/>
  <c r="F65" i="7"/>
  <c r="G65" i="7"/>
  <c r="H65" i="7"/>
  <c r="I65" i="7"/>
  <c r="J65" i="7"/>
  <c r="K65" i="7"/>
  <c r="L65" i="7"/>
  <c r="M65" i="7"/>
  <c r="N65" i="7"/>
  <c r="C66" i="7"/>
  <c r="D66" i="7"/>
  <c r="E66" i="7"/>
  <c r="F66" i="7"/>
  <c r="G66" i="7"/>
  <c r="H66" i="7"/>
  <c r="I66" i="7"/>
  <c r="J66" i="7"/>
  <c r="K66" i="7"/>
  <c r="L66" i="7"/>
  <c r="M66" i="7"/>
  <c r="N66" i="7"/>
  <c r="O66" i="7"/>
  <c r="Q66" i="7" s="1"/>
  <c r="S66" i="7" s="1"/>
  <c r="C67" i="7"/>
  <c r="D67" i="7"/>
  <c r="O67" i="7" s="1"/>
  <c r="Q67" i="7" s="1"/>
  <c r="S67" i="7" s="1"/>
  <c r="E67" i="7"/>
  <c r="F67" i="7"/>
  <c r="G67" i="7"/>
  <c r="H67" i="7"/>
  <c r="I67" i="7"/>
  <c r="J67" i="7"/>
  <c r="K67" i="7"/>
  <c r="L67" i="7"/>
  <c r="M67" i="7"/>
  <c r="N67" i="7"/>
  <c r="C68" i="7"/>
  <c r="D68" i="7"/>
  <c r="E68" i="7"/>
  <c r="F68" i="7"/>
  <c r="G68" i="7"/>
  <c r="H68" i="7"/>
  <c r="I68" i="7"/>
  <c r="O68" i="7" s="1"/>
  <c r="Q68" i="7" s="1"/>
  <c r="S68" i="7" s="1"/>
  <c r="J68" i="7"/>
  <c r="K68" i="7"/>
  <c r="L68" i="7"/>
  <c r="M68" i="7"/>
  <c r="N68" i="7"/>
  <c r="F69" i="7"/>
  <c r="F70" i="7" s="1"/>
  <c r="F78" i="7" s="1"/>
  <c r="G69" i="7"/>
  <c r="H69" i="7"/>
  <c r="H70" i="7" s="1"/>
  <c r="H78" i="7" s="1"/>
  <c r="L69" i="7"/>
  <c r="L70" i="7" s="1"/>
  <c r="L78" i="7" s="1"/>
  <c r="M69" i="7"/>
  <c r="N69" i="7"/>
  <c r="N70" i="7" s="1"/>
  <c r="N78" i="7" s="1"/>
  <c r="P69" i="7"/>
  <c r="G70" i="7"/>
  <c r="G78" i="7" s="1"/>
  <c r="M70" i="7"/>
  <c r="M78" i="7" s="1"/>
  <c r="P70" i="7"/>
  <c r="C74" i="7"/>
  <c r="D74" i="7"/>
  <c r="O74" i="7" s="1"/>
  <c r="Q74" i="7" s="1"/>
  <c r="E74" i="7"/>
  <c r="F74" i="7"/>
  <c r="G74" i="7"/>
  <c r="H74" i="7"/>
  <c r="I74" i="7"/>
  <c r="J74" i="7"/>
  <c r="K74" i="7"/>
  <c r="L74" i="7"/>
  <c r="M74" i="7"/>
  <c r="N74" i="7"/>
  <c r="C75" i="7"/>
  <c r="D75" i="7"/>
  <c r="O75" i="7" s="1"/>
  <c r="Q75" i="7" s="1"/>
  <c r="E75" i="7"/>
  <c r="F75" i="7"/>
  <c r="G75" i="7"/>
  <c r="H75" i="7"/>
  <c r="I75" i="7"/>
  <c r="J75" i="7"/>
  <c r="K75" i="7"/>
  <c r="L75" i="7"/>
  <c r="M75" i="7"/>
  <c r="N75" i="7"/>
  <c r="O76" i="7"/>
  <c r="Q76" i="7"/>
  <c r="P78" i="7"/>
  <c r="N216" i="40"/>
  <c r="M216" i="40"/>
  <c r="L216" i="40"/>
  <c r="K216" i="40"/>
  <c r="J216" i="40"/>
  <c r="I216" i="40"/>
  <c r="H216" i="40"/>
  <c r="G216" i="40"/>
  <c r="F216" i="40"/>
  <c r="E216" i="40"/>
  <c r="D216" i="40"/>
  <c r="C216" i="40"/>
  <c r="B216" i="40"/>
  <c r="O214" i="40"/>
  <c r="O213" i="40"/>
  <c r="O212" i="40"/>
  <c r="O211" i="40"/>
  <c r="O210" i="40"/>
  <c r="O209" i="40"/>
  <c r="O208" i="40"/>
  <c r="O207" i="40"/>
  <c r="O206" i="40"/>
  <c r="O205" i="40"/>
  <c r="O204" i="40"/>
  <c r="O203" i="40"/>
  <c r="O202" i="40"/>
  <c r="O201" i="40"/>
  <c r="O200" i="40"/>
  <c r="O199" i="40"/>
  <c r="O198" i="40"/>
  <c r="O197" i="40"/>
  <c r="O196" i="40"/>
  <c r="O195" i="40"/>
  <c r="O194" i="40"/>
  <c r="O193" i="40"/>
  <c r="O192" i="40"/>
  <c r="O191" i="40"/>
  <c r="O190" i="40"/>
  <c r="O189" i="40"/>
  <c r="O188" i="40"/>
  <c r="O187" i="40"/>
  <c r="O186" i="40"/>
  <c r="O185" i="40"/>
  <c r="O184" i="40"/>
  <c r="O183" i="40"/>
  <c r="O182" i="40"/>
  <c r="O181" i="40"/>
  <c r="O180" i="40"/>
  <c r="O179" i="40"/>
  <c r="O178" i="40"/>
  <c r="O177" i="40"/>
  <c r="O176" i="40"/>
  <c r="O175" i="40"/>
  <c r="O174" i="40"/>
  <c r="O173" i="40"/>
  <c r="O172" i="40"/>
  <c r="O171" i="40"/>
  <c r="O170" i="40"/>
  <c r="O169" i="40"/>
  <c r="O168" i="40"/>
  <c r="O167" i="40"/>
  <c r="O166" i="40"/>
  <c r="O165" i="40"/>
  <c r="O164" i="40"/>
  <c r="O163" i="40"/>
  <c r="O162" i="40"/>
  <c r="O161" i="40"/>
  <c r="O160" i="40"/>
  <c r="O159" i="40"/>
  <c r="O158" i="40"/>
  <c r="O157" i="40"/>
  <c r="O156" i="40"/>
  <c r="O155" i="40"/>
  <c r="O154" i="40"/>
  <c r="O153" i="40"/>
  <c r="O152" i="40"/>
  <c r="O151" i="40"/>
  <c r="O150" i="40"/>
  <c r="O149" i="40"/>
  <c r="O148" i="40"/>
  <c r="O147" i="40"/>
  <c r="O146" i="40"/>
  <c r="O145" i="40"/>
  <c r="O144" i="40"/>
  <c r="O143" i="40"/>
  <c r="O142" i="40"/>
  <c r="O141" i="40"/>
  <c r="O140" i="40"/>
  <c r="O139" i="40"/>
  <c r="O138" i="40"/>
  <c r="O137" i="40"/>
  <c r="O136" i="40"/>
  <c r="O135" i="40"/>
  <c r="O134" i="40"/>
  <c r="O133" i="40"/>
  <c r="O132" i="40"/>
  <c r="O131" i="40"/>
  <c r="O129" i="40"/>
  <c r="O128" i="40"/>
  <c r="O127" i="40"/>
  <c r="O126" i="40"/>
  <c r="O125" i="40"/>
  <c r="O124" i="40"/>
  <c r="O123" i="40"/>
  <c r="O122" i="40"/>
  <c r="O121" i="40"/>
  <c r="O120" i="40"/>
  <c r="O119" i="40"/>
  <c r="O118" i="40"/>
  <c r="O117" i="40"/>
  <c r="O116" i="40"/>
  <c r="O115" i="40"/>
  <c r="O114" i="40"/>
  <c r="O113" i="40"/>
  <c r="O112" i="40"/>
  <c r="O111" i="40"/>
  <c r="O110" i="40"/>
  <c r="O109" i="40"/>
  <c r="O108" i="40"/>
  <c r="O216" i="40" s="1"/>
  <c r="K105" i="40"/>
  <c r="K218" i="40" s="1"/>
  <c r="H105" i="40"/>
  <c r="H218" i="40" s="1"/>
  <c r="E105" i="40"/>
  <c r="E218" i="40" s="1"/>
  <c r="B105" i="40"/>
  <c r="B218" i="40" s="1"/>
  <c r="M103" i="40"/>
  <c r="L103" i="40"/>
  <c r="K103" i="40"/>
  <c r="J103" i="40"/>
  <c r="I103" i="40"/>
  <c r="H103" i="40"/>
  <c r="G103" i="40"/>
  <c r="F103" i="40"/>
  <c r="E103" i="40"/>
  <c r="D103" i="40"/>
  <c r="C103" i="40"/>
  <c r="B103" i="40"/>
  <c r="O103" i="40" s="1"/>
  <c r="O102" i="40"/>
  <c r="O101" i="40"/>
  <c r="O100" i="40"/>
  <c r="P97" i="40"/>
  <c r="M81" i="40"/>
  <c r="M105" i="40" s="1"/>
  <c r="M218" i="40" s="1"/>
  <c r="L81" i="40"/>
  <c r="L105" i="40" s="1"/>
  <c r="L218" i="40" s="1"/>
  <c r="K81" i="40"/>
  <c r="J81" i="40"/>
  <c r="J105" i="40" s="1"/>
  <c r="J218" i="40" s="1"/>
  <c r="I81" i="40"/>
  <c r="I105" i="40" s="1"/>
  <c r="I218" i="40" s="1"/>
  <c r="H81" i="40"/>
  <c r="G81" i="40"/>
  <c r="G105" i="40" s="1"/>
  <c r="G218" i="40" s="1"/>
  <c r="F81" i="40"/>
  <c r="F105" i="40" s="1"/>
  <c r="F218" i="40" s="1"/>
  <c r="E81" i="40"/>
  <c r="D81" i="40"/>
  <c r="D105" i="40" s="1"/>
  <c r="D218" i="40" s="1"/>
  <c r="C81" i="40"/>
  <c r="C105" i="40" s="1"/>
  <c r="C218" i="40" s="1"/>
  <c r="B81" i="40"/>
  <c r="O79" i="40"/>
  <c r="O78" i="40"/>
  <c r="O77" i="40"/>
  <c r="O76" i="40"/>
  <c r="O75" i="40"/>
  <c r="O74" i="40"/>
  <c r="O73" i="40"/>
  <c r="O72" i="40"/>
  <c r="O71" i="40"/>
  <c r="O70" i="40"/>
  <c r="O69" i="40"/>
  <c r="O68" i="40"/>
  <c r="O67" i="40"/>
  <c r="O66" i="40"/>
  <c r="O65" i="40"/>
  <c r="O64" i="40"/>
  <c r="O63" i="40"/>
  <c r="O62" i="40"/>
  <c r="O61" i="40"/>
  <c r="O60" i="40"/>
  <c r="O59" i="40"/>
  <c r="O58" i="40"/>
  <c r="O57" i="40"/>
  <c r="O56" i="40"/>
  <c r="O55" i="40"/>
  <c r="O54" i="40"/>
  <c r="O53" i="40"/>
  <c r="O52" i="40"/>
  <c r="O51" i="40"/>
  <c r="O50" i="40"/>
  <c r="O49" i="40"/>
  <c r="O48"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O7" i="40"/>
  <c r="O6" i="40"/>
  <c r="O5" i="40"/>
  <c r="Q5" i="40" s="1"/>
  <c r="C76" i="11"/>
  <c r="C67" i="11"/>
  <c r="C61" i="11"/>
  <c r="C54" i="11"/>
  <c r="C26" i="11"/>
  <c r="C21" i="11"/>
  <c r="C12" i="11"/>
  <c r="H76" i="11"/>
  <c r="Z52" i="11"/>
  <c r="AB52" i="11" s="1"/>
  <c r="K52" i="11"/>
  <c r="Y52" i="11" s="1"/>
  <c r="Z60" i="11"/>
  <c r="AB60" i="11" s="1"/>
  <c r="K60" i="11"/>
  <c r="Y60" i="11" s="1"/>
  <c r="I62" i="28" s="1"/>
  <c r="J76" i="11"/>
  <c r="I76" i="11"/>
  <c r="F76" i="11"/>
  <c r="E76" i="11"/>
  <c r="K75" i="11"/>
  <c r="Y75" i="11" s="1"/>
  <c r="I77" i="28" s="1"/>
  <c r="Z75" i="11"/>
  <c r="AB75" i="11" s="1"/>
  <c r="K47" i="11"/>
  <c r="Y47" i="11" s="1"/>
  <c r="I49" i="28" s="1"/>
  <c r="Z47" i="11"/>
  <c r="AB47" i="11" s="1"/>
  <c r="K45" i="11"/>
  <c r="Y45" i="11" s="1"/>
  <c r="I47" i="28" s="1"/>
  <c r="Z45" i="11"/>
  <c r="AB45" i="11" s="1"/>
  <c r="K74" i="11"/>
  <c r="Y74" i="11" s="1"/>
  <c r="I76" i="28" s="1"/>
  <c r="Z74" i="11"/>
  <c r="AB74" i="11" s="1"/>
  <c r="R37" i="28" l="1"/>
  <c r="M37" i="29" s="1"/>
  <c r="N37" i="29" s="1"/>
  <c r="T37" i="28"/>
  <c r="S80" i="28"/>
  <c r="V80" i="28"/>
  <c r="X80" i="28" s="1"/>
  <c r="J49" i="28"/>
  <c r="J62" i="28"/>
  <c r="J47" i="28"/>
  <c r="C78" i="11"/>
  <c r="C84" i="11" s="1"/>
  <c r="J54" i="28"/>
  <c r="J76" i="28"/>
  <c r="J77" i="28"/>
  <c r="N54" i="28"/>
  <c r="O54" i="28"/>
  <c r="N49" i="28"/>
  <c r="O79" i="28"/>
  <c r="P79" i="28" s="1"/>
  <c r="T79" i="28" s="1"/>
  <c r="O47" i="28"/>
  <c r="N81" i="28"/>
  <c r="O78" i="28"/>
  <c r="P78" i="28" s="1"/>
  <c r="O81" i="28"/>
  <c r="N75" i="28"/>
  <c r="O49" i="28"/>
  <c r="N76" i="28"/>
  <c r="O75" i="28"/>
  <c r="O76" i="28"/>
  <c r="N47" i="28"/>
  <c r="P77" i="28"/>
  <c r="T77" i="28" s="1"/>
  <c r="N14" i="28"/>
  <c r="O14" i="28"/>
  <c r="J70" i="7"/>
  <c r="J78" i="7" s="1"/>
  <c r="S28" i="7"/>
  <c r="Q69" i="7"/>
  <c r="S69" i="7" s="1"/>
  <c r="K70" i="7"/>
  <c r="K78" i="7" s="1"/>
  <c r="O25" i="7"/>
  <c r="Q13" i="7"/>
  <c r="S13" i="7" s="1"/>
  <c r="S12" i="7"/>
  <c r="S25" i="7" s="1"/>
  <c r="E70" i="7"/>
  <c r="E78" i="7" s="1"/>
  <c r="C70" i="7"/>
  <c r="C78" i="7" s="1"/>
  <c r="O69" i="7"/>
  <c r="D70" i="7"/>
  <c r="D78" i="7" s="1"/>
  <c r="U15" i="7"/>
  <c r="U20" i="7"/>
  <c r="U24" i="7"/>
  <c r="U17" i="7"/>
  <c r="U19" i="7"/>
  <c r="U21" i="7"/>
  <c r="O81" i="40"/>
  <c r="O105" i="40" s="1"/>
  <c r="O218" i="40" s="1"/>
  <c r="Z73" i="11"/>
  <c r="K73" i="11"/>
  <c r="Y73" i="11" s="1"/>
  <c r="I75" i="28" s="1"/>
  <c r="E54" i="11"/>
  <c r="J54" i="11"/>
  <c r="I54" i="11"/>
  <c r="H54" i="11"/>
  <c r="Z53" i="11"/>
  <c r="K53" i="11"/>
  <c r="Y53" i="11" s="1"/>
  <c r="I55" i="28" s="1"/>
  <c r="K36" i="11"/>
  <c r="Y36" i="11" s="1"/>
  <c r="I38" i="28" s="1"/>
  <c r="W38" i="28" s="1"/>
  <c r="Z36" i="11"/>
  <c r="Z63" i="11"/>
  <c r="Z64" i="11"/>
  <c r="K63" i="11"/>
  <c r="J67" i="11"/>
  <c r="I67" i="11"/>
  <c r="H67" i="11"/>
  <c r="E67" i="11"/>
  <c r="Z72" i="11"/>
  <c r="G76" i="11"/>
  <c r="Z71" i="11"/>
  <c r="K71" i="11"/>
  <c r="Y71" i="11" s="1"/>
  <c r="I73" i="28" s="1"/>
  <c r="O73" i="28" s="1"/>
  <c r="Z70" i="11"/>
  <c r="K70" i="11"/>
  <c r="Y70" i="11" s="1"/>
  <c r="I72" i="28" s="1"/>
  <c r="O72" i="28" s="1"/>
  <c r="Z69" i="11"/>
  <c r="K69" i="11"/>
  <c r="E61" i="11"/>
  <c r="Z57" i="11"/>
  <c r="K57" i="11"/>
  <c r="Y57" i="11" s="1"/>
  <c r="I59" i="28" s="1"/>
  <c r="W59" i="28" s="1"/>
  <c r="S37" i="28" l="1"/>
  <c r="V37" i="28"/>
  <c r="AB73" i="11"/>
  <c r="J75" i="28"/>
  <c r="AB71" i="11"/>
  <c r="J73" i="28"/>
  <c r="AB69" i="11"/>
  <c r="J71" i="28"/>
  <c r="AB64" i="11"/>
  <c r="J66" i="28"/>
  <c r="AB63" i="11"/>
  <c r="J65" i="28"/>
  <c r="AB53" i="11"/>
  <c r="J55" i="28"/>
  <c r="AB70" i="11"/>
  <c r="J72" i="28"/>
  <c r="AB36" i="11"/>
  <c r="J38" i="28"/>
  <c r="N73" i="28"/>
  <c r="P73" i="28" s="1"/>
  <c r="T73" i="28" s="1"/>
  <c r="AB72" i="11"/>
  <c r="J74" i="28"/>
  <c r="AB57" i="11"/>
  <c r="J59" i="28"/>
  <c r="N72" i="28"/>
  <c r="P72" i="28" s="1"/>
  <c r="R72" i="28" s="1"/>
  <c r="P54" i="28"/>
  <c r="T54" i="28" s="1"/>
  <c r="R79" i="28"/>
  <c r="U79" i="28"/>
  <c r="P49" i="28"/>
  <c r="R49" i="28" s="1"/>
  <c r="M49" i="29" s="1"/>
  <c r="N49" i="29" s="1"/>
  <c r="P81" i="28"/>
  <c r="V81" i="28" s="1"/>
  <c r="P47" i="28"/>
  <c r="T47" i="28" s="1"/>
  <c r="P75" i="28"/>
  <c r="P76" i="28"/>
  <c r="U76" i="28" s="1"/>
  <c r="U78" i="28"/>
  <c r="R78" i="28"/>
  <c r="T78" i="28"/>
  <c r="R77" i="28"/>
  <c r="M77" i="29" s="1"/>
  <c r="N77" i="29" s="1"/>
  <c r="U77" i="28"/>
  <c r="P14" i="28"/>
  <c r="R14" i="28" s="1"/>
  <c r="S70" i="7"/>
  <c r="Q25" i="7"/>
  <c r="Q70" i="7" s="1"/>
  <c r="Q78" i="7" s="1"/>
  <c r="U13" i="7"/>
  <c r="U25" i="7" s="1"/>
  <c r="P98" i="40"/>
  <c r="Z76" i="11"/>
  <c r="AC76" i="11" s="1"/>
  <c r="Y63" i="11"/>
  <c r="I65" i="28" s="1"/>
  <c r="Y69" i="11"/>
  <c r="K72" i="11"/>
  <c r="Y72" i="11" s="1"/>
  <c r="I74" i="28" s="1"/>
  <c r="V14" i="28" l="1"/>
  <c r="M15" i="29"/>
  <c r="R54" i="28"/>
  <c r="M54" i="29" s="1"/>
  <c r="N54" i="29" s="1"/>
  <c r="S78" i="28"/>
  <c r="V78" i="28"/>
  <c r="S49" i="28"/>
  <c r="V49" i="28"/>
  <c r="S79" i="28"/>
  <c r="V79" i="28"/>
  <c r="J82" i="28"/>
  <c r="S77" i="28"/>
  <c r="V77" i="28"/>
  <c r="U73" i="28"/>
  <c r="S72" i="28"/>
  <c r="V72" i="28"/>
  <c r="Y76" i="11"/>
  <c r="I71" i="28"/>
  <c r="U72" i="28"/>
  <c r="O74" i="28"/>
  <c r="N74" i="28"/>
  <c r="P74" i="28" s="1"/>
  <c r="T72" i="28"/>
  <c r="U54" i="28"/>
  <c r="R73" i="28"/>
  <c r="R75" i="28"/>
  <c r="M75" i="29" s="1"/>
  <c r="T75" i="28"/>
  <c r="U47" i="28"/>
  <c r="R47" i="28"/>
  <c r="T81" i="28"/>
  <c r="U81" i="28"/>
  <c r="T49" i="28"/>
  <c r="U49" i="28"/>
  <c r="R81" i="28"/>
  <c r="U75" i="28"/>
  <c r="T76" i="28"/>
  <c r="T14" i="28"/>
  <c r="R76" i="28"/>
  <c r="M76" i="29" s="1"/>
  <c r="N76" i="29" s="1"/>
  <c r="U14" i="28"/>
  <c r="K76" i="11"/>
  <c r="V54" i="28" l="1"/>
  <c r="X54" i="28" s="1"/>
  <c r="S54" i="28"/>
  <c r="S81" i="28"/>
  <c r="M81" i="29"/>
  <c r="N81" i="29" s="1"/>
  <c r="N75" i="29"/>
  <c r="M82" i="29"/>
  <c r="N15" i="29"/>
  <c r="S76" i="28"/>
  <c r="V76" i="28"/>
  <c r="S75" i="28"/>
  <c r="V75" i="28"/>
  <c r="X75" i="28" s="1"/>
  <c r="S47" i="28"/>
  <c r="V47" i="28"/>
  <c r="O71" i="28"/>
  <c r="I82" i="28"/>
  <c r="N71" i="28"/>
  <c r="T74" i="28"/>
  <c r="R74" i="28"/>
  <c r="U74" i="28"/>
  <c r="S73" i="28"/>
  <c r="V73" i="28"/>
  <c r="S14" i="28"/>
  <c r="U26" i="7"/>
  <c r="N79" i="71"/>
  <c r="U13" i="26"/>
  <c r="U14" i="26"/>
  <c r="U15" i="26"/>
  <c r="U16" i="26"/>
  <c r="U17" i="26"/>
  <c r="U18" i="26"/>
  <c r="U19" i="26"/>
  <c r="U20" i="26"/>
  <c r="U21" i="26"/>
  <c r="U22" i="26"/>
  <c r="U23" i="26"/>
  <c r="J25" i="26"/>
  <c r="K27" i="26"/>
  <c r="D39" i="16" s="1"/>
  <c r="L25" i="26"/>
  <c r="N25" i="26"/>
  <c r="P25" i="26"/>
  <c r="R25" i="26"/>
  <c r="P71" i="28" l="1"/>
  <c r="U71" i="28" s="1"/>
  <c r="U82" i="28" s="1"/>
  <c r="R71" i="28"/>
  <c r="T71" i="28"/>
  <c r="T82" i="28" s="1"/>
  <c r="P82" i="28"/>
  <c r="S74" i="28"/>
  <c r="V74" i="28"/>
  <c r="V71" i="28" l="1"/>
  <c r="V82" i="28" s="1"/>
  <c r="S71" i="28"/>
  <c r="S82" i="28" s="1"/>
  <c r="X104" i="28" s="1"/>
  <c r="R82" i="28"/>
  <c r="A5" i="28"/>
  <c r="L27" i="29" l="1"/>
  <c r="L13" i="29"/>
  <c r="L86" i="29" l="1"/>
  <c r="L88" i="29"/>
  <c r="C27" i="29"/>
  <c r="F27" i="29"/>
  <c r="G13" i="29" l="1"/>
  <c r="F13" i="29"/>
  <c r="G86" i="29" l="1"/>
  <c r="G88" i="29" s="1"/>
  <c r="G92" i="29" s="1"/>
  <c r="F86" i="29"/>
  <c r="F88" i="29" s="1"/>
  <c r="H63" i="29"/>
  <c r="Q63" i="29" s="1"/>
  <c r="H82" i="29"/>
  <c r="E13" i="29"/>
  <c r="E27" i="29"/>
  <c r="E86" i="29" s="1"/>
  <c r="K27" i="29"/>
  <c r="K63" i="29"/>
  <c r="K13" i="29"/>
  <c r="F93" i="29" l="1"/>
  <c r="F94" i="29" s="1"/>
  <c r="C30" i="18" s="1"/>
  <c r="C34" i="18"/>
  <c r="K56" i="29"/>
  <c r="I23" i="29"/>
  <c r="I82" i="29"/>
  <c r="K82" i="29"/>
  <c r="I56" i="29"/>
  <c r="K23" i="29"/>
  <c r="I63" i="29"/>
  <c r="E88" i="29"/>
  <c r="I27" i="29"/>
  <c r="Q56" i="29"/>
  <c r="Q82" i="29"/>
  <c r="Q23" i="29"/>
  <c r="R23" i="29" s="1"/>
  <c r="H27" i="29"/>
  <c r="Q27" i="29" s="1"/>
  <c r="E92" i="29" l="1"/>
  <c r="K86" i="29"/>
  <c r="H69" i="29"/>
  <c r="K88" i="29"/>
  <c r="Q69" i="29" l="1"/>
  <c r="D36" i="71"/>
  <c r="E36" i="71" s="1"/>
  <c r="E17" i="97" l="1"/>
  <c r="A69" i="28"/>
  <c r="A63" i="28"/>
  <c r="A56" i="28"/>
  <c r="A29" i="28"/>
  <c r="A29" i="29" s="1"/>
  <c r="A25" i="28"/>
  <c r="A25" i="29" s="1"/>
  <c r="A26" i="28"/>
  <c r="A26" i="29" s="1"/>
  <c r="A22" i="28"/>
  <c r="A12" i="28"/>
  <c r="A15" i="28"/>
  <c r="A16" i="29" s="1"/>
  <c r="A16" i="28"/>
  <c r="A17" i="29" s="1"/>
  <c r="A17" i="28"/>
  <c r="A18" i="29" s="1"/>
  <c r="A18" i="28"/>
  <c r="A19" i="29" s="1"/>
  <c r="A19" i="28"/>
  <c r="A20" i="29" s="1"/>
  <c r="A20" i="28"/>
  <c r="A21" i="29" s="1"/>
  <c r="A21" i="28"/>
  <c r="A22" i="29" s="1"/>
  <c r="A11" i="28"/>
  <c r="G26" i="11"/>
  <c r="H26" i="11"/>
  <c r="I26" i="11"/>
  <c r="J26" i="11"/>
  <c r="E26" i="11"/>
  <c r="F21" i="11"/>
  <c r="G21" i="11"/>
  <c r="H21" i="11"/>
  <c r="I21" i="11"/>
  <c r="J21" i="11"/>
  <c r="O16" i="96"/>
  <c r="O20" i="96" l="1"/>
  <c r="O22" i="96" s="1"/>
  <c r="E40" i="49" l="1"/>
  <c r="U40" i="49" s="1"/>
  <c r="U42" i="49" s="1"/>
  <c r="R23" i="49"/>
  <c r="L23" i="49"/>
  <c r="E23" i="49"/>
  <c r="P23" i="49" l="1"/>
  <c r="S23" i="49"/>
  <c r="Q23" i="49"/>
  <c r="E46" i="49" l="1"/>
  <c r="U23" i="49"/>
  <c r="U25" i="49" s="1"/>
  <c r="P61" i="28"/>
  <c r="O68" i="28"/>
  <c r="C23" i="77"/>
  <c r="D23" i="77"/>
  <c r="E23" i="77"/>
  <c r="F23" i="77"/>
  <c r="G23" i="77"/>
  <c r="H23" i="77"/>
  <c r="I23" i="77"/>
  <c r="J23" i="77"/>
  <c r="K23" i="77"/>
  <c r="L23" i="77"/>
  <c r="M23" i="77"/>
  <c r="N23" i="77"/>
  <c r="B23" i="77"/>
  <c r="O18" i="77"/>
  <c r="U61" i="28" l="1"/>
  <c r="R61" i="28"/>
  <c r="V61" i="28" s="1"/>
  <c r="N55" i="28"/>
  <c r="C61" i="77"/>
  <c r="H47" i="17" s="1"/>
  <c r="N47" i="17" s="1"/>
  <c r="N68" i="28"/>
  <c r="P68" i="28" s="1"/>
  <c r="R68" i="28" s="1"/>
  <c r="V68" i="28" s="1"/>
  <c r="N62" i="28"/>
  <c r="O55" i="28"/>
  <c r="O62" i="28"/>
  <c r="T61" i="28"/>
  <c r="M34" i="28"/>
  <c r="M30" i="28"/>
  <c r="M31" i="28"/>
  <c r="M32" i="28"/>
  <c r="M33" i="28"/>
  <c r="M29" i="28"/>
  <c r="M26" i="28"/>
  <c r="M25" i="28"/>
  <c r="M18" i="28"/>
  <c r="M19" i="28"/>
  <c r="M21" i="28"/>
  <c r="M17" i="28"/>
  <c r="M11" i="28"/>
  <c r="X61" i="28" l="1"/>
  <c r="P55" i="28"/>
  <c r="T55" i="28" s="1"/>
  <c r="P62" i="28"/>
  <c r="U68" i="28"/>
  <c r="T68" i="28"/>
  <c r="U62" i="28" l="1"/>
  <c r="R62" i="28"/>
  <c r="U55" i="28"/>
  <c r="R55" i="28"/>
  <c r="T62" i="28"/>
  <c r="X37" i="28"/>
  <c r="S55" i="28" l="1"/>
  <c r="V55" i="28"/>
  <c r="X55" i="28" s="1"/>
  <c r="S62" i="28"/>
  <c r="V62" i="28"/>
  <c r="X77" i="28"/>
  <c r="X81" i="28"/>
  <c r="X78" i="28"/>
  <c r="X79" i="28"/>
  <c r="X14" i="28"/>
  <c r="X49" i="28"/>
  <c r="X72" i="28"/>
  <c r="X73" i="28"/>
  <c r="X76" i="28"/>
  <c r="X47" i="28"/>
  <c r="X74" i="28"/>
  <c r="W68" i="28"/>
  <c r="X68" i="28" s="1"/>
  <c r="X62" i="28"/>
  <c r="W82" i="28" l="1"/>
  <c r="X71" i="28"/>
  <c r="X82" i="28" s="1"/>
  <c r="E79" i="71" l="1"/>
  <c r="I79" i="71" s="1"/>
  <c r="D39" i="71"/>
  <c r="D40" i="71"/>
  <c r="D41" i="71"/>
  <c r="D43" i="71"/>
  <c r="D45" i="71"/>
  <c r="D49" i="71"/>
  <c r="D73" i="71"/>
  <c r="D74" i="71"/>
  <c r="D76" i="71"/>
  <c r="D78" i="71"/>
  <c r="E78" i="71" s="1"/>
  <c r="I78" i="71" s="1"/>
  <c r="E12" i="97"/>
  <c r="E13" i="97"/>
  <c r="E14" i="97"/>
  <c r="E15" i="97"/>
  <c r="E16" i="97"/>
  <c r="O34" i="77"/>
  <c r="P34" i="77" s="1"/>
  <c r="C33" i="77"/>
  <c r="D33" i="77"/>
  <c r="E33" i="77"/>
  <c r="F33" i="77"/>
  <c r="G33" i="77"/>
  <c r="H33" i="77"/>
  <c r="I33" i="77"/>
  <c r="J33" i="77"/>
  <c r="K33" i="77"/>
  <c r="L33" i="77"/>
  <c r="M33" i="77"/>
  <c r="M32" i="77"/>
  <c r="L32" i="77"/>
  <c r="K32" i="77"/>
  <c r="J32" i="77"/>
  <c r="I32" i="77"/>
  <c r="H32" i="77"/>
  <c r="G32" i="77"/>
  <c r="E32" i="77"/>
  <c r="F32" i="77"/>
  <c r="D32" i="77"/>
  <c r="C32" i="77"/>
  <c r="N32" i="77"/>
  <c r="C30" i="77"/>
  <c r="D30" i="77"/>
  <c r="E30" i="77"/>
  <c r="F30" i="77"/>
  <c r="G30" i="77"/>
  <c r="H30" i="77"/>
  <c r="I30" i="77"/>
  <c r="J30" i="77"/>
  <c r="K30" i="77"/>
  <c r="L30" i="77"/>
  <c r="M30" i="77"/>
  <c r="O32" i="77" l="1"/>
  <c r="O33" i="77"/>
  <c r="O30" i="77"/>
  <c r="O24" i="77"/>
  <c r="O25" i="77"/>
  <c r="O23" i="77"/>
  <c r="O16" i="77"/>
  <c r="A49" i="77" l="1"/>
  <c r="A42" i="77"/>
  <c r="M29" i="77"/>
  <c r="M31" i="77" s="1"/>
  <c r="C29" i="77"/>
  <c r="C31" i="77" s="1"/>
  <c r="E29" i="77"/>
  <c r="E31" i="77" s="1"/>
  <c r="J29" i="77"/>
  <c r="J31" i="77" s="1"/>
  <c r="O17" i="77"/>
  <c r="L29" i="77" l="1"/>
  <c r="L31" i="77" s="1"/>
  <c r="K29" i="77"/>
  <c r="K31" i="77" s="1"/>
  <c r="G29" i="77"/>
  <c r="G31" i="77" s="1"/>
  <c r="F29" i="77"/>
  <c r="F31" i="77" s="1"/>
  <c r="H29" i="77"/>
  <c r="H31" i="77" s="1"/>
  <c r="D31" i="77"/>
  <c r="I29" i="77"/>
  <c r="I31" i="77" s="1"/>
  <c r="O28" i="77"/>
  <c r="O27" i="77"/>
  <c r="P11" i="77"/>
  <c r="P33" i="77" l="1"/>
  <c r="V28" i="77"/>
  <c r="V31" i="77"/>
  <c r="O29" i="77"/>
  <c r="O31" i="77"/>
  <c r="P30" i="77"/>
  <c r="O21" i="77"/>
  <c r="P21" i="77" s="1"/>
  <c r="P41" i="77" l="1"/>
  <c r="V30" i="77"/>
  <c r="T28" i="77"/>
  <c r="P35" i="77"/>
  <c r="O20" i="77"/>
  <c r="P20" i="77" s="1"/>
  <c r="E58" i="97" l="1"/>
  <c r="K44" i="96"/>
  <c r="K45" i="96" s="1"/>
  <c r="O14" i="77" l="1"/>
  <c r="P14" i="77" s="1"/>
  <c r="O13" i="77"/>
  <c r="P13" i="77" s="1"/>
  <c r="O12" i="77"/>
  <c r="O19" i="77"/>
  <c r="P19" i="77" s="1"/>
  <c r="P12" i="77" l="1"/>
  <c r="T29" i="77" s="1"/>
  <c r="P39" i="77"/>
  <c r="P24" i="77"/>
  <c r="P45" i="77" l="1"/>
  <c r="D47" i="20" s="1"/>
  <c r="D48" i="20" s="1"/>
  <c r="L48" i="20" s="1"/>
  <c r="F47" i="71" s="1"/>
  <c r="I47" i="71" s="1"/>
  <c r="T30" i="77"/>
  <c r="P46" i="77"/>
  <c r="B24" i="63" l="1"/>
  <c r="B27" i="63" s="1"/>
  <c r="D24" i="63"/>
  <c r="M66" i="28" l="1"/>
  <c r="M59" i="28"/>
  <c r="M52" i="28"/>
  <c r="M51" i="28"/>
  <c r="M48" i="28"/>
  <c r="M46" i="28"/>
  <c r="M45" i="28"/>
  <c r="M44" i="28"/>
  <c r="M41" i="28"/>
  <c r="M39" i="28"/>
  <c r="M15" i="28"/>
  <c r="W12" i="28" l="1"/>
  <c r="V12" i="28" l="1"/>
  <c r="J40" i="49" l="1"/>
  <c r="C40" i="49"/>
  <c r="N29" i="49"/>
  <c r="G44" i="49" s="1"/>
  <c r="Z58" i="11" l="1"/>
  <c r="K58" i="11"/>
  <c r="Y58" i="11" s="1"/>
  <c r="I60" i="28" s="1"/>
  <c r="W60" i="28" l="1"/>
  <c r="AB58" i="11"/>
  <c r="J60" i="28"/>
  <c r="U60" i="28" l="1"/>
  <c r="T60" i="28"/>
  <c r="R60" i="28"/>
  <c r="K14" i="11"/>
  <c r="Z11" i="11"/>
  <c r="V60" i="28" l="1"/>
  <c r="M61" i="29"/>
  <c r="N61" i="29" s="1"/>
  <c r="M60" i="29"/>
  <c r="N60" i="29" s="1"/>
  <c r="J11" i="28"/>
  <c r="J12" i="28" s="1"/>
  <c r="AB11" i="11"/>
  <c r="X60" i="28"/>
  <c r="C23" i="49"/>
  <c r="C43" i="49" s="1"/>
  <c r="O15" i="77" l="1"/>
  <c r="C70" i="77" l="1"/>
  <c r="P22" i="77"/>
  <c r="M80" i="71"/>
  <c r="R69" i="29" l="1"/>
  <c r="R63" i="29"/>
  <c r="AD61" i="11"/>
  <c r="P26" i="77"/>
  <c r="P42" i="77"/>
  <c r="F27" i="97" s="1"/>
  <c r="F26" i="71"/>
  <c r="L23" i="20" l="1"/>
  <c r="L24" i="20"/>
  <c r="L25" i="20"/>
  <c r="L26" i="20"/>
  <c r="L27" i="20"/>
  <c r="T25" i="16"/>
  <c r="T24" i="16"/>
  <c r="T23" i="16"/>
  <c r="A30" i="16"/>
  <c r="N29" i="99" l="1"/>
  <c r="N30" i="99" s="1"/>
  <c r="L56" i="17" s="1"/>
  <c r="Y12" i="28"/>
  <c r="Y104" i="28"/>
  <c r="R82" i="29"/>
  <c r="R56" i="29"/>
  <c r="R27" i="29"/>
  <c r="Y82" i="28"/>
  <c r="S178" i="100"/>
  <c r="S372" i="100"/>
  <c r="C399" i="100" s="1"/>
  <c r="C401" i="100" s="1"/>
  <c r="S179" i="100"/>
  <c r="S358" i="100"/>
  <c r="S338" i="100"/>
  <c r="S316" i="100"/>
  <c r="S291" i="100"/>
  <c r="S268" i="100"/>
  <c r="S230" i="100"/>
  <c r="S221" i="100"/>
  <c r="S193" i="100"/>
  <c r="S357" i="100"/>
  <c r="S337" i="100"/>
  <c r="S315" i="100"/>
  <c r="S290" i="100"/>
  <c r="S267" i="100"/>
  <c r="S231" i="100"/>
  <c r="S356" i="100"/>
  <c r="S336" i="100"/>
  <c r="S314" i="100"/>
  <c r="S289" i="100"/>
  <c r="S266" i="100"/>
  <c r="S232" i="100"/>
  <c r="S189" i="100"/>
  <c r="S160" i="100"/>
  <c r="S122" i="100"/>
  <c r="S102" i="100"/>
  <c r="S82" i="100"/>
  <c r="S62" i="100"/>
  <c r="S42" i="100"/>
  <c r="S22" i="100"/>
  <c r="S355" i="100"/>
  <c r="S313" i="100"/>
  <c r="S287" i="100"/>
  <c r="S265" i="100"/>
  <c r="S233" i="100"/>
  <c r="S188" i="100"/>
  <c r="S161" i="100"/>
  <c r="S121" i="100"/>
  <c r="S101" i="100"/>
  <c r="S81" i="100"/>
  <c r="S41" i="100"/>
  <c r="S21" i="100"/>
  <c r="S354" i="100"/>
  <c r="S334" i="100"/>
  <c r="S312" i="100"/>
  <c r="S286" i="100"/>
  <c r="S264" i="100"/>
  <c r="S187" i="100"/>
  <c r="S155" i="100"/>
  <c r="S120" i="100"/>
  <c r="S100" i="100"/>
  <c r="S80" i="100"/>
  <c r="S60" i="100"/>
  <c r="S40" i="100"/>
  <c r="S20" i="100"/>
  <c r="S335" i="100"/>
  <c r="S61" i="100"/>
  <c r="S234" i="100"/>
  <c r="S349" i="100"/>
  <c r="S329" i="100"/>
  <c r="S305" i="100"/>
  <c r="S279" i="100"/>
  <c r="S247" i="100"/>
  <c r="S239" i="100"/>
  <c r="S206" i="100"/>
  <c r="S176" i="100"/>
  <c r="S115" i="100"/>
  <c r="S95" i="100"/>
  <c r="S75" i="100"/>
  <c r="S55" i="100"/>
  <c r="S35" i="100"/>
  <c r="S348" i="100"/>
  <c r="S326" i="100"/>
  <c r="S304" i="100"/>
  <c r="S278" i="100"/>
  <c r="S248" i="100"/>
  <c r="S240" i="100"/>
  <c r="S205" i="100"/>
  <c r="S175" i="100"/>
  <c r="S114" i="100"/>
  <c r="S94" i="100"/>
  <c r="S74" i="100"/>
  <c r="S54" i="100"/>
  <c r="S34" i="100"/>
  <c r="S371" i="100"/>
  <c r="S347" i="100"/>
  <c r="S325" i="100"/>
  <c r="S303" i="100"/>
  <c r="S277" i="100"/>
  <c r="S249" i="100"/>
  <c r="S241" i="100"/>
  <c r="S204" i="100"/>
  <c r="S174" i="100"/>
  <c r="S113" i="100"/>
  <c r="S93" i="100"/>
  <c r="S73" i="100"/>
  <c r="S53" i="100"/>
  <c r="S33" i="100"/>
  <c r="S370" i="100"/>
  <c r="S346" i="100"/>
  <c r="S324" i="100"/>
  <c r="S302" i="100"/>
  <c r="S276" i="100"/>
  <c r="S250" i="100"/>
  <c r="S242" i="100"/>
  <c r="S203" i="100"/>
  <c r="S173" i="100"/>
  <c r="S112" i="100"/>
  <c r="S92" i="100"/>
  <c r="S72" i="100"/>
  <c r="S52" i="100"/>
  <c r="S32" i="100"/>
  <c r="S90" i="100"/>
  <c r="S384" i="100"/>
  <c r="S309" i="100"/>
  <c r="S224" i="100"/>
  <c r="S130" i="100"/>
  <c r="S212" i="100" s="1"/>
  <c r="S339" i="100"/>
  <c r="S294" i="100"/>
  <c r="S253" i="100"/>
  <c r="S207" i="100"/>
  <c r="S158" i="100"/>
  <c r="S110" i="100"/>
  <c r="S83" i="100"/>
  <c r="S49" i="100"/>
  <c r="S17" i="100"/>
  <c r="S333" i="100"/>
  <c r="S293" i="100"/>
  <c r="S226" i="100"/>
  <c r="S202" i="100"/>
  <c r="S159" i="100"/>
  <c r="S109" i="100"/>
  <c r="S79" i="100"/>
  <c r="S48" i="100"/>
  <c r="S332" i="100"/>
  <c r="S292" i="100"/>
  <c r="S227" i="100"/>
  <c r="S201" i="100"/>
  <c r="S108" i="100"/>
  <c r="S78" i="100"/>
  <c r="S47" i="100"/>
  <c r="S369" i="100"/>
  <c r="S331" i="100"/>
  <c r="S366" i="100" s="1"/>
  <c r="S285" i="100"/>
  <c r="S228" i="100"/>
  <c r="S200" i="100"/>
  <c r="S107" i="100"/>
  <c r="S77" i="100"/>
  <c r="S46" i="100"/>
  <c r="S368" i="100"/>
  <c r="S330" i="100"/>
  <c r="S365" i="100" s="1"/>
  <c r="S284" i="100"/>
  <c r="S229" i="100"/>
  <c r="S199" i="100"/>
  <c r="S106" i="100"/>
  <c r="S76" i="100"/>
  <c r="S45" i="100"/>
  <c r="S367" i="100"/>
  <c r="S323" i="100"/>
  <c r="S283" i="100"/>
  <c r="S235" i="100"/>
  <c r="S196" i="100"/>
  <c r="S105" i="100"/>
  <c r="S71" i="100"/>
  <c r="S44" i="100"/>
  <c r="S362" i="100"/>
  <c r="S322" i="100"/>
  <c r="S282" i="100"/>
  <c r="S236" i="100"/>
  <c r="S195" i="100"/>
  <c r="S104" i="100"/>
  <c r="S70" i="100"/>
  <c r="S43" i="100"/>
  <c r="S361" i="100"/>
  <c r="S321" i="100"/>
  <c r="S275" i="100"/>
  <c r="S237" i="100"/>
  <c r="S194" i="100"/>
  <c r="S103" i="100"/>
  <c r="S69" i="100"/>
  <c r="S39" i="100"/>
  <c r="S360" i="100"/>
  <c r="S320" i="100"/>
  <c r="S274" i="100"/>
  <c r="S238" i="100"/>
  <c r="S190" i="100"/>
  <c r="S99" i="100"/>
  <c r="S68" i="100"/>
  <c r="S38" i="100"/>
  <c r="S359" i="100"/>
  <c r="S319" i="100"/>
  <c r="S273" i="100"/>
  <c r="S243" i="100"/>
  <c r="S186" i="100"/>
  <c r="S98" i="100"/>
  <c r="S67" i="100"/>
  <c r="S37" i="100"/>
  <c r="S353" i="100"/>
  <c r="S318" i="100"/>
  <c r="S272" i="100"/>
  <c r="S244" i="100"/>
  <c r="S134" i="100"/>
  <c r="S97" i="100"/>
  <c r="S66" i="100"/>
  <c r="S36" i="100"/>
  <c r="S352" i="100"/>
  <c r="S317" i="100"/>
  <c r="S271" i="100"/>
  <c r="S245" i="100"/>
  <c r="S132" i="100"/>
  <c r="S96" i="100"/>
  <c r="S65" i="100"/>
  <c r="S31" i="100"/>
  <c r="S351" i="100"/>
  <c r="S311" i="100"/>
  <c r="S270" i="100"/>
  <c r="S222" i="100"/>
  <c r="S177" i="100"/>
  <c r="S133" i="100"/>
  <c r="S91" i="100"/>
  <c r="S64" i="100"/>
  <c r="S30" i="100"/>
  <c r="S350" i="100"/>
  <c r="S310" i="100"/>
  <c r="S269" i="100"/>
  <c r="S223" i="100"/>
  <c r="S172" i="100"/>
  <c r="S131" i="100"/>
  <c r="S63" i="100"/>
  <c r="S29" i="100"/>
  <c r="S345" i="100"/>
  <c r="S263" i="100"/>
  <c r="S171" i="100"/>
  <c r="S89" i="100"/>
  <c r="S383" i="100"/>
  <c r="S225" i="100"/>
  <c r="S59" i="100"/>
  <c r="S382" i="100"/>
  <c r="S220" i="100"/>
  <c r="S58" i="100"/>
  <c r="S381" i="100"/>
  <c r="S211" i="100"/>
  <c r="S57" i="100"/>
  <c r="S380" i="100"/>
  <c r="S210" i="100"/>
  <c r="S56" i="100"/>
  <c r="S208" i="100"/>
  <c r="S51" i="100"/>
  <c r="S344" i="100"/>
  <c r="S170" i="100"/>
  <c r="S50" i="100"/>
  <c r="S343" i="100"/>
  <c r="S169" i="100"/>
  <c r="S28" i="100"/>
  <c r="S342" i="100"/>
  <c r="S168" i="100"/>
  <c r="S27" i="100"/>
  <c r="S341" i="100"/>
  <c r="S156" i="100"/>
  <c r="S26" i="100"/>
  <c r="S340" i="100"/>
  <c r="S157" i="100"/>
  <c r="S25" i="100"/>
  <c r="S306" i="100"/>
  <c r="S119" i="100"/>
  <c r="S24" i="100"/>
  <c r="S298" i="100"/>
  <c r="S118" i="100"/>
  <c r="S23" i="100"/>
  <c r="S297" i="100"/>
  <c r="S117" i="100"/>
  <c r="S296" i="100"/>
  <c r="S116" i="100"/>
  <c r="S295" i="100"/>
  <c r="S111" i="100"/>
  <c r="S262" i="100"/>
  <c r="S88" i="100"/>
  <c r="S261" i="100"/>
  <c r="S87" i="100"/>
  <c r="S246" i="100"/>
  <c r="S86" i="100"/>
  <c r="S85" i="100"/>
  <c r="S252" i="100"/>
  <c r="S84" i="100"/>
  <c r="S251" i="100"/>
  <c r="AD12" i="11"/>
  <c r="AD26" i="11"/>
  <c r="F10" i="97"/>
  <c r="AD76" i="11"/>
  <c r="AD54" i="11"/>
  <c r="AD67" i="11"/>
  <c r="C40" i="71"/>
  <c r="C50" i="71"/>
  <c r="L80" i="17" l="1"/>
  <c r="L82" i="17" s="1"/>
  <c r="J55" i="71"/>
  <c r="N56" i="17"/>
  <c r="T365" i="100"/>
  <c r="Z365" i="100"/>
  <c r="V365" i="100"/>
  <c r="X365" i="100" s="1"/>
  <c r="Z366" i="100"/>
  <c r="T366" i="100"/>
  <c r="V366" i="100"/>
  <c r="X366" i="100" s="1"/>
  <c r="B37" i="20"/>
  <c r="Z179" i="100"/>
  <c r="V179" i="100"/>
  <c r="X179" i="100" s="1"/>
  <c r="T179" i="100"/>
  <c r="S213" i="100"/>
  <c r="V212" i="100"/>
  <c r="X212" i="100" s="1"/>
  <c r="Z212" i="100"/>
  <c r="T212" i="100"/>
  <c r="Z372" i="100"/>
  <c r="V372" i="100"/>
  <c r="X372" i="100" s="1"/>
  <c r="T372" i="100"/>
  <c r="Y372" i="100" s="1"/>
  <c r="Z178" i="100"/>
  <c r="V178" i="100"/>
  <c r="X178" i="100" s="1"/>
  <c r="T178" i="100"/>
  <c r="V279" i="100"/>
  <c r="X279" i="100" s="1"/>
  <c r="T279" i="100"/>
  <c r="Y279" i="100" s="1"/>
  <c r="AF279" i="100" s="1"/>
  <c r="T47" i="100"/>
  <c r="V47" i="100"/>
  <c r="X47" i="100" s="1"/>
  <c r="T81" i="100"/>
  <c r="V81" i="100"/>
  <c r="X81" i="100" s="1"/>
  <c r="V87" i="100"/>
  <c r="X87" i="100" s="1"/>
  <c r="T87" i="100"/>
  <c r="Z318" i="100"/>
  <c r="V318" i="100"/>
  <c r="X318" i="100" s="1"/>
  <c r="T318" i="100"/>
  <c r="Z341" i="100"/>
  <c r="T341" i="100"/>
  <c r="V341" i="100"/>
  <c r="X341" i="100" s="1"/>
  <c r="Z336" i="100"/>
  <c r="V336" i="100"/>
  <c r="X336" i="100" s="1"/>
  <c r="T336" i="100"/>
  <c r="T88" i="100"/>
  <c r="V88" i="100"/>
  <c r="X88" i="100" s="1"/>
  <c r="Z37" i="100"/>
  <c r="T37" i="100"/>
  <c r="V37" i="100"/>
  <c r="X37" i="100" s="1"/>
  <c r="Z231" i="100"/>
  <c r="V231" i="100"/>
  <c r="X231" i="100" s="1"/>
  <c r="T231" i="100"/>
  <c r="Z313" i="100"/>
  <c r="T313" i="100"/>
  <c r="V313" i="100"/>
  <c r="X313" i="100" s="1"/>
  <c r="V211" i="100"/>
  <c r="X211" i="100" s="1"/>
  <c r="Z211" i="100"/>
  <c r="T211" i="100"/>
  <c r="V41" i="100"/>
  <c r="X41" i="100" s="1"/>
  <c r="T41" i="100"/>
  <c r="Z314" i="100"/>
  <c r="V314" i="100"/>
  <c r="X314" i="100" s="1"/>
  <c r="T314" i="100"/>
  <c r="T161" i="100"/>
  <c r="V161" i="100"/>
  <c r="X161" i="100" s="1"/>
  <c r="T278" i="100"/>
  <c r="V278" i="100"/>
  <c r="X278" i="100" s="1"/>
  <c r="Z330" i="100"/>
  <c r="T330" i="100"/>
  <c r="V330" i="100"/>
  <c r="X330" i="100" s="1"/>
  <c r="Z357" i="100"/>
  <c r="V357" i="100"/>
  <c r="X357" i="100" s="1"/>
  <c r="T357" i="100"/>
  <c r="V85" i="100"/>
  <c r="X85" i="100" s="1"/>
  <c r="T85" i="100"/>
  <c r="T266" i="100"/>
  <c r="V266" i="100"/>
  <c r="X266" i="100" s="1"/>
  <c r="V101" i="100"/>
  <c r="X101" i="100" s="1"/>
  <c r="T101" i="100"/>
  <c r="Y101" i="100" s="1"/>
  <c r="Z356" i="100"/>
  <c r="T356" i="100"/>
  <c r="V356" i="100"/>
  <c r="X356" i="100" s="1"/>
  <c r="Z309" i="100"/>
  <c r="V309" i="100"/>
  <c r="X309" i="100" s="1"/>
  <c r="T309" i="100"/>
  <c r="Z193" i="100"/>
  <c r="V193" i="100"/>
  <c r="X193" i="100" s="1"/>
  <c r="T193" i="100"/>
  <c r="Z196" i="100"/>
  <c r="T196" i="100"/>
  <c r="V196" i="100"/>
  <c r="X196" i="100" s="1"/>
  <c r="Z305" i="100"/>
  <c r="V305" i="100"/>
  <c r="X305" i="100" s="1"/>
  <c r="T305" i="100"/>
  <c r="T283" i="100"/>
  <c r="V283" i="100"/>
  <c r="X283" i="100" s="1"/>
  <c r="V133" i="100"/>
  <c r="X133" i="100" s="1"/>
  <c r="T133" i="100"/>
  <c r="T175" i="100"/>
  <c r="V175" i="100"/>
  <c r="X175" i="100" s="1"/>
  <c r="Z177" i="100"/>
  <c r="Z181" i="100" s="1"/>
  <c r="Z183" i="100" s="1"/>
  <c r="P18" i="63" s="1"/>
  <c r="V177" i="100"/>
  <c r="X177" i="100" s="1"/>
  <c r="T177" i="100"/>
  <c r="T201" i="100"/>
  <c r="V201" i="100"/>
  <c r="X201" i="100" s="1"/>
  <c r="T53" i="100"/>
  <c r="V53" i="100"/>
  <c r="X53" i="100" s="1"/>
  <c r="Z225" i="100"/>
  <c r="T225" i="100"/>
  <c r="V225" i="100"/>
  <c r="X225" i="100" s="1"/>
  <c r="Z292" i="100"/>
  <c r="T292" i="100"/>
  <c r="V292" i="100"/>
  <c r="X292" i="100" s="1"/>
  <c r="Z311" i="100"/>
  <c r="T311" i="100"/>
  <c r="V311" i="100"/>
  <c r="X311" i="100" s="1"/>
  <c r="V20" i="100"/>
  <c r="X20" i="100" s="1"/>
  <c r="T20" i="100"/>
  <c r="T28" i="100"/>
  <c r="V28" i="100"/>
  <c r="X28" i="100" s="1"/>
  <c r="Z384" i="100"/>
  <c r="V384" i="100"/>
  <c r="X384" i="100" s="1"/>
  <c r="T384" i="100"/>
  <c r="V116" i="100"/>
  <c r="X116" i="100" s="1"/>
  <c r="T116" i="100"/>
  <c r="T79" i="100"/>
  <c r="V79" i="100"/>
  <c r="X79" i="100" s="1"/>
  <c r="T60" i="100"/>
  <c r="V60" i="100"/>
  <c r="X60" i="100" s="1"/>
  <c r="V65" i="100"/>
  <c r="X65" i="100" s="1"/>
  <c r="T65" i="100"/>
  <c r="T284" i="100"/>
  <c r="V284" i="100"/>
  <c r="X284" i="100" s="1"/>
  <c r="T96" i="100"/>
  <c r="V96" i="100"/>
  <c r="X96" i="100" s="1"/>
  <c r="V355" i="100"/>
  <c r="X355" i="100" s="1"/>
  <c r="T355" i="100"/>
  <c r="Z29" i="100"/>
  <c r="V29" i="100"/>
  <c r="X29" i="100" s="1"/>
  <c r="T29" i="100"/>
  <c r="Z245" i="100"/>
  <c r="V245" i="100"/>
  <c r="X245" i="100" s="1"/>
  <c r="T245" i="100"/>
  <c r="Z226" i="100"/>
  <c r="V226" i="100"/>
  <c r="X226" i="100" s="1"/>
  <c r="T226" i="100"/>
  <c r="V92" i="100"/>
  <c r="X92" i="100" s="1"/>
  <c r="T92" i="100"/>
  <c r="V277" i="100"/>
  <c r="X277" i="100" s="1"/>
  <c r="T277" i="100"/>
  <c r="V75" i="100"/>
  <c r="X75" i="100" s="1"/>
  <c r="T75" i="100"/>
  <c r="T155" i="100"/>
  <c r="V155" i="100"/>
  <c r="V42" i="100"/>
  <c r="X42" i="100" s="1"/>
  <c r="T42" i="100"/>
  <c r="Z221" i="100"/>
  <c r="T221" i="100"/>
  <c r="V221" i="100"/>
  <c r="X221" i="100" s="1"/>
  <c r="Z360" i="100"/>
  <c r="V360" i="100"/>
  <c r="X360" i="100" s="1"/>
  <c r="T360" i="100"/>
  <c r="Y360" i="100" s="1"/>
  <c r="T158" i="100"/>
  <c r="V158" i="100"/>
  <c r="X158" i="100" s="1"/>
  <c r="T207" i="100"/>
  <c r="V207" i="100"/>
  <c r="X207" i="100" s="1"/>
  <c r="T26" i="100"/>
  <c r="V26" i="100"/>
  <c r="X26" i="100" s="1"/>
  <c r="V78" i="100"/>
  <c r="X78" i="100" s="1"/>
  <c r="T78" i="100"/>
  <c r="Z220" i="100"/>
  <c r="T220" i="100"/>
  <c r="V220" i="100"/>
  <c r="Z349" i="100"/>
  <c r="T349" i="100"/>
  <c r="V349" i="100"/>
  <c r="X349" i="100" s="1"/>
  <c r="Z194" i="100"/>
  <c r="V194" i="100"/>
  <c r="X194" i="100" s="1"/>
  <c r="T194" i="100"/>
  <c r="Z367" i="100"/>
  <c r="V367" i="100"/>
  <c r="X367" i="100" s="1"/>
  <c r="T367" i="100"/>
  <c r="Y367" i="100" s="1"/>
  <c r="S280" i="100"/>
  <c r="T130" i="100"/>
  <c r="V130" i="100"/>
  <c r="V262" i="100"/>
  <c r="X262" i="100" s="1"/>
  <c r="T262" i="100"/>
  <c r="T73" i="100"/>
  <c r="V73" i="100"/>
  <c r="X73" i="100" s="1"/>
  <c r="Z342" i="100"/>
  <c r="T342" i="100"/>
  <c r="V342" i="100"/>
  <c r="X342" i="100" s="1"/>
  <c r="V106" i="100"/>
  <c r="X106" i="100" s="1"/>
  <c r="T106" i="100"/>
  <c r="T267" i="100"/>
  <c r="V267" i="100"/>
  <c r="X267" i="100" s="1"/>
  <c r="T351" i="100"/>
  <c r="V351" i="100"/>
  <c r="X351" i="100" s="1"/>
  <c r="V48" i="100"/>
  <c r="X48" i="100" s="1"/>
  <c r="T48" i="100"/>
  <c r="T169" i="100"/>
  <c r="V169" i="100"/>
  <c r="X169" i="100" s="1"/>
  <c r="Y169" i="100" s="1"/>
  <c r="AF169" i="100" s="1"/>
  <c r="Z315" i="100"/>
  <c r="T315" i="100"/>
  <c r="V315" i="100"/>
  <c r="X315" i="100" s="1"/>
  <c r="Z296" i="100"/>
  <c r="V296" i="100"/>
  <c r="X296" i="100" s="1"/>
  <c r="T296" i="100"/>
  <c r="T70" i="100"/>
  <c r="V70" i="100"/>
  <c r="X70" i="100" s="1"/>
  <c r="V109" i="100"/>
  <c r="X109" i="100" s="1"/>
  <c r="T109" i="100"/>
  <c r="V104" i="100"/>
  <c r="X104" i="100" s="1"/>
  <c r="T104" i="100"/>
  <c r="T100" i="100"/>
  <c r="V100" i="100"/>
  <c r="X100" i="100" s="1"/>
  <c r="V170" i="100"/>
  <c r="X170" i="100" s="1"/>
  <c r="T170" i="100"/>
  <c r="Z359" i="100"/>
  <c r="V359" i="100"/>
  <c r="X359" i="100" s="1"/>
  <c r="T359" i="100"/>
  <c r="V202" i="100"/>
  <c r="X202" i="100" s="1"/>
  <c r="T202" i="100"/>
  <c r="T131" i="100"/>
  <c r="V131" i="100"/>
  <c r="X131" i="100" s="1"/>
  <c r="T282" i="100"/>
  <c r="V282" i="100"/>
  <c r="X282" i="100" s="1"/>
  <c r="V77" i="100"/>
  <c r="X77" i="100" s="1"/>
  <c r="T77" i="100"/>
  <c r="Y77" i="100" s="1"/>
  <c r="Z293" i="100"/>
  <c r="V293" i="100"/>
  <c r="X293" i="100" s="1"/>
  <c r="T293" i="100"/>
  <c r="T112" i="100"/>
  <c r="V112" i="100"/>
  <c r="X112" i="100" s="1"/>
  <c r="Z303" i="100"/>
  <c r="V303" i="100"/>
  <c r="X303" i="100" s="1"/>
  <c r="T303" i="100"/>
  <c r="V95" i="100"/>
  <c r="X95" i="100" s="1"/>
  <c r="T95" i="100"/>
  <c r="Y95" i="100" s="1"/>
  <c r="V187" i="100"/>
  <c r="X187" i="100" s="1"/>
  <c r="Z187" i="100"/>
  <c r="T187" i="100"/>
  <c r="T62" i="100"/>
  <c r="V62" i="100"/>
  <c r="X62" i="100" s="1"/>
  <c r="Z230" i="100"/>
  <c r="V230" i="100"/>
  <c r="X230" i="100" s="1"/>
  <c r="T230" i="100"/>
  <c r="T157" i="100"/>
  <c r="V157" i="100"/>
  <c r="X157" i="100" s="1"/>
  <c r="Z302" i="100"/>
  <c r="T302" i="100"/>
  <c r="V302" i="100"/>
  <c r="X302" i="100" s="1"/>
  <c r="Z340" i="100"/>
  <c r="T340" i="100"/>
  <c r="V340" i="100"/>
  <c r="X340" i="100" s="1"/>
  <c r="V39" i="100"/>
  <c r="X39" i="100" s="1"/>
  <c r="T39" i="100"/>
  <c r="V91" i="100"/>
  <c r="X91" i="100" s="1"/>
  <c r="T91" i="100"/>
  <c r="Y91" i="100" s="1"/>
  <c r="Z346" i="100"/>
  <c r="T346" i="100"/>
  <c r="V346" i="100"/>
  <c r="X346" i="100" s="1"/>
  <c r="Z370" i="100"/>
  <c r="V370" i="100"/>
  <c r="X370" i="100" s="1"/>
  <c r="T370" i="100"/>
  <c r="V205" i="100"/>
  <c r="X205" i="100" s="1"/>
  <c r="T205" i="100"/>
  <c r="Z227" i="100"/>
  <c r="V227" i="100"/>
  <c r="X227" i="100" s="1"/>
  <c r="T227" i="100"/>
  <c r="V275" i="100"/>
  <c r="X275" i="100" s="1"/>
  <c r="T275" i="100"/>
  <c r="T248" i="100"/>
  <c r="V248" i="100"/>
  <c r="X248" i="100" s="1"/>
  <c r="Z332" i="100"/>
  <c r="V332" i="100"/>
  <c r="X332" i="100" s="1"/>
  <c r="T332" i="100"/>
  <c r="Z295" i="100"/>
  <c r="V295" i="100"/>
  <c r="X295" i="100" s="1"/>
  <c r="T295" i="100"/>
  <c r="Z304" i="100"/>
  <c r="T304" i="100"/>
  <c r="V304" i="100"/>
  <c r="X304" i="100" s="1"/>
  <c r="Z243" i="100"/>
  <c r="V243" i="100"/>
  <c r="X243" i="100" s="1"/>
  <c r="T243" i="100"/>
  <c r="Z326" i="100"/>
  <c r="V326" i="100"/>
  <c r="X326" i="100" s="1"/>
  <c r="T326" i="100"/>
  <c r="Y326" i="100" s="1"/>
  <c r="Z343" i="100"/>
  <c r="V343" i="100"/>
  <c r="X343" i="100" s="1"/>
  <c r="T343" i="100"/>
  <c r="V32" i="100"/>
  <c r="X32" i="100" s="1"/>
  <c r="T32" i="100"/>
  <c r="Z345" i="100"/>
  <c r="T345" i="100"/>
  <c r="V345" i="100"/>
  <c r="X345" i="100" s="1"/>
  <c r="T35" i="100"/>
  <c r="Z35" i="100"/>
  <c r="V35" i="100"/>
  <c r="X35" i="100" s="1"/>
  <c r="Z297" i="100"/>
  <c r="V297" i="100"/>
  <c r="X297" i="100" s="1"/>
  <c r="T297" i="100"/>
  <c r="T120" i="100"/>
  <c r="V120" i="100"/>
  <c r="X120" i="100" s="1"/>
  <c r="V63" i="100"/>
  <c r="X63" i="100" s="1"/>
  <c r="T63" i="100"/>
  <c r="Z236" i="100"/>
  <c r="V236" i="100"/>
  <c r="X236" i="100" s="1"/>
  <c r="T236" i="100"/>
  <c r="Y236" i="100" s="1"/>
  <c r="V208" i="100"/>
  <c r="X208" i="100" s="1"/>
  <c r="T208" i="100"/>
  <c r="Z317" i="100"/>
  <c r="V317" i="100"/>
  <c r="X317" i="100" s="1"/>
  <c r="T317" i="100"/>
  <c r="T99" i="100"/>
  <c r="V99" i="100"/>
  <c r="X99" i="100" s="1"/>
  <c r="Z322" i="100"/>
  <c r="V322" i="100"/>
  <c r="X322" i="100" s="1"/>
  <c r="T322" i="100"/>
  <c r="T107" i="100"/>
  <c r="V107" i="100"/>
  <c r="X107" i="100" s="1"/>
  <c r="Y107" i="100" s="1"/>
  <c r="AF107" i="100" s="1"/>
  <c r="Z333" i="100"/>
  <c r="T333" i="100"/>
  <c r="V333" i="100"/>
  <c r="X333" i="100" s="1"/>
  <c r="V173" i="100"/>
  <c r="X173" i="100" s="1"/>
  <c r="T173" i="100"/>
  <c r="Z325" i="100"/>
  <c r="T325" i="100"/>
  <c r="Y325" i="100" s="1"/>
  <c r="V325" i="100"/>
  <c r="X325" i="100" s="1"/>
  <c r="T115" i="100"/>
  <c r="V115" i="100"/>
  <c r="X115" i="100" s="1"/>
  <c r="V264" i="100"/>
  <c r="X264" i="100" s="1"/>
  <c r="T264" i="100"/>
  <c r="V82" i="100"/>
  <c r="X82" i="100" s="1"/>
  <c r="T82" i="100"/>
  <c r="T268" i="100"/>
  <c r="V268" i="100"/>
  <c r="X268" i="100" s="1"/>
  <c r="Z232" i="100"/>
  <c r="V232" i="100"/>
  <c r="X232" i="100" s="1"/>
  <c r="T232" i="100"/>
  <c r="Z381" i="100"/>
  <c r="T381" i="100"/>
  <c r="V381" i="100"/>
  <c r="X381" i="100" s="1"/>
  <c r="Z235" i="100"/>
  <c r="V235" i="100"/>
  <c r="X235" i="100" s="1"/>
  <c r="T235" i="100"/>
  <c r="Z289" i="100"/>
  <c r="T289" i="100"/>
  <c r="V289" i="100"/>
  <c r="X289" i="100" s="1"/>
  <c r="Y289" i="100" s="1"/>
  <c r="AF289" i="100" s="1"/>
  <c r="V156" i="100"/>
  <c r="X156" i="100" s="1"/>
  <c r="T156" i="100"/>
  <c r="V103" i="100"/>
  <c r="X103" i="100" s="1"/>
  <c r="T103" i="100"/>
  <c r="V353" i="100"/>
  <c r="X353" i="100" s="1"/>
  <c r="T353" i="100"/>
  <c r="V121" i="100"/>
  <c r="X121" i="100" s="1"/>
  <c r="T121" i="100"/>
  <c r="V45" i="100"/>
  <c r="X45" i="100" s="1"/>
  <c r="T45" i="100"/>
  <c r="V168" i="100"/>
  <c r="T168" i="100"/>
  <c r="Z188" i="100"/>
  <c r="T188" i="100"/>
  <c r="V188" i="100"/>
  <c r="X188" i="100" s="1"/>
  <c r="Z321" i="100"/>
  <c r="V321" i="100"/>
  <c r="X321" i="100" s="1"/>
  <c r="T321" i="100"/>
  <c r="V199" i="100"/>
  <c r="X199" i="100" s="1"/>
  <c r="T199" i="100"/>
  <c r="Y199" i="100" s="1"/>
  <c r="AF199" i="100" s="1"/>
  <c r="Z290" i="100"/>
  <c r="T290" i="100"/>
  <c r="V290" i="100"/>
  <c r="X290" i="100" s="1"/>
  <c r="Z337" i="100"/>
  <c r="T337" i="100"/>
  <c r="V337" i="100"/>
  <c r="X337" i="100" s="1"/>
  <c r="V132" i="100"/>
  <c r="X132" i="100" s="1"/>
  <c r="T132" i="100"/>
  <c r="Z195" i="100"/>
  <c r="T195" i="100"/>
  <c r="V195" i="100"/>
  <c r="X195" i="100" s="1"/>
  <c r="Z368" i="100"/>
  <c r="T368" i="100"/>
  <c r="V368" i="100"/>
  <c r="X368" i="100" s="1"/>
  <c r="T72" i="100"/>
  <c r="V72" i="100"/>
  <c r="X72" i="100" s="1"/>
  <c r="T23" i="100"/>
  <c r="V23" i="100"/>
  <c r="X23" i="100" s="1"/>
  <c r="V46" i="100"/>
  <c r="X46" i="100" s="1"/>
  <c r="T46" i="100"/>
  <c r="Y46" i="100" s="1"/>
  <c r="AF46" i="100" s="1"/>
  <c r="V271" i="100"/>
  <c r="X271" i="100" s="1"/>
  <c r="T271" i="100"/>
  <c r="Z298" i="100"/>
  <c r="T298" i="100"/>
  <c r="V298" i="100"/>
  <c r="X298" i="100" s="1"/>
  <c r="T24" i="100"/>
  <c r="V24" i="100"/>
  <c r="X24" i="100" s="1"/>
  <c r="V56" i="100"/>
  <c r="X56" i="100" s="1"/>
  <c r="T56" i="100"/>
  <c r="Y56" i="100" s="1"/>
  <c r="Z223" i="100"/>
  <c r="T223" i="100"/>
  <c r="V223" i="100"/>
  <c r="X223" i="100" s="1"/>
  <c r="Y223" i="100" s="1"/>
  <c r="AF223" i="100" s="1"/>
  <c r="V352" i="100"/>
  <c r="X352" i="100" s="1"/>
  <c r="T352" i="100"/>
  <c r="Z190" i="100"/>
  <c r="T190" i="100"/>
  <c r="V190" i="100"/>
  <c r="X190" i="100" s="1"/>
  <c r="Z362" i="100"/>
  <c r="V362" i="100"/>
  <c r="X362" i="100" s="1"/>
  <c r="T362" i="100"/>
  <c r="Y362" i="100" s="1"/>
  <c r="AF362" i="100" s="1"/>
  <c r="V200" i="100"/>
  <c r="X200" i="100" s="1"/>
  <c r="T200" i="100"/>
  <c r="V17" i="100"/>
  <c r="T17" i="100"/>
  <c r="T203" i="100"/>
  <c r="V203" i="100"/>
  <c r="X203" i="100" s="1"/>
  <c r="Z347" i="100"/>
  <c r="V347" i="100"/>
  <c r="X347" i="100" s="1"/>
  <c r="T347" i="100"/>
  <c r="Y347" i="100" s="1"/>
  <c r="T176" i="100"/>
  <c r="V176" i="100"/>
  <c r="X176" i="100" s="1"/>
  <c r="Z286" i="100"/>
  <c r="T286" i="100"/>
  <c r="V286" i="100"/>
  <c r="X286" i="100" s="1"/>
  <c r="T102" i="100"/>
  <c r="V102" i="100"/>
  <c r="X102" i="100" s="1"/>
  <c r="Z291" i="100"/>
  <c r="T291" i="100"/>
  <c r="V291" i="100"/>
  <c r="X291" i="100" s="1"/>
  <c r="Y291" i="100" s="1"/>
  <c r="T74" i="100"/>
  <c r="V74" i="100"/>
  <c r="X74" i="100" s="1"/>
  <c r="T86" i="100"/>
  <c r="V86" i="100"/>
  <c r="X86" i="100" s="1"/>
  <c r="Z244" i="100"/>
  <c r="V244" i="100"/>
  <c r="X244" i="100" s="1"/>
  <c r="T244" i="100"/>
  <c r="V58" i="100"/>
  <c r="X58" i="100" s="1"/>
  <c r="T58" i="100"/>
  <c r="V114" i="100"/>
  <c r="X114" i="100" s="1"/>
  <c r="T114" i="100"/>
  <c r="V108" i="100"/>
  <c r="X108" i="100" s="1"/>
  <c r="T108" i="100"/>
  <c r="Y108" i="100" s="1"/>
  <c r="AF108" i="100" s="1"/>
  <c r="T261" i="100"/>
  <c r="V261" i="100"/>
  <c r="V33" i="100"/>
  <c r="X33" i="100" s="1"/>
  <c r="Z33" i="100"/>
  <c r="T33" i="100"/>
  <c r="V59" i="100"/>
  <c r="X59" i="100" s="1"/>
  <c r="T59" i="100"/>
  <c r="V61" i="100"/>
  <c r="X61" i="100" s="1"/>
  <c r="T61" i="100"/>
  <c r="V76" i="100"/>
  <c r="X76" i="100" s="1"/>
  <c r="T76" i="100"/>
  <c r="Z383" i="100"/>
  <c r="T383" i="100"/>
  <c r="V383" i="100"/>
  <c r="X383" i="100" s="1"/>
  <c r="Z233" i="100"/>
  <c r="V233" i="100"/>
  <c r="X233" i="100" s="1"/>
  <c r="T233" i="100"/>
  <c r="Y233" i="100" s="1"/>
  <c r="Z361" i="100"/>
  <c r="T361" i="100"/>
  <c r="V361" i="100"/>
  <c r="X361" i="100" s="1"/>
  <c r="V113" i="100"/>
  <c r="X113" i="100" s="1"/>
  <c r="T113" i="100"/>
  <c r="T43" i="100"/>
  <c r="V43" i="100"/>
  <c r="X43" i="100" s="1"/>
  <c r="Z287" i="100"/>
  <c r="V287" i="100"/>
  <c r="X287" i="100" s="1"/>
  <c r="T287" i="100"/>
  <c r="Y287" i="100" s="1"/>
  <c r="V273" i="100"/>
  <c r="X273" i="100" s="1"/>
  <c r="T273" i="100"/>
  <c r="Z348" i="100"/>
  <c r="V348" i="100"/>
  <c r="X348" i="100" s="1"/>
  <c r="T348" i="100"/>
  <c r="V50" i="100"/>
  <c r="X50" i="100" s="1"/>
  <c r="T50" i="100"/>
  <c r="Z241" i="100"/>
  <c r="V241" i="100"/>
  <c r="X241" i="100" s="1"/>
  <c r="T241" i="100"/>
  <c r="Y241" i="100" s="1"/>
  <c r="V22" i="100"/>
  <c r="X22" i="100" s="1"/>
  <c r="T22" i="100"/>
  <c r="Z344" i="100"/>
  <c r="T344" i="100"/>
  <c r="V344" i="100"/>
  <c r="X344" i="100" s="1"/>
  <c r="T38" i="100"/>
  <c r="V38" i="100"/>
  <c r="X38" i="100" s="1"/>
  <c r="T68" i="100"/>
  <c r="V68" i="100"/>
  <c r="X68" i="100" s="1"/>
  <c r="T251" i="100"/>
  <c r="V251" i="100"/>
  <c r="X251" i="100" s="1"/>
  <c r="Z210" i="100"/>
  <c r="V210" i="100"/>
  <c r="X210" i="100" s="1"/>
  <c r="T210" i="100"/>
  <c r="T269" i="100"/>
  <c r="V269" i="100"/>
  <c r="X269" i="100" s="1"/>
  <c r="Z36" i="100"/>
  <c r="T36" i="100"/>
  <c r="V36" i="100"/>
  <c r="X36" i="100" s="1"/>
  <c r="Z238" i="100"/>
  <c r="V238" i="100"/>
  <c r="X238" i="100" s="1"/>
  <c r="T238" i="100"/>
  <c r="V44" i="100"/>
  <c r="X44" i="100" s="1"/>
  <c r="T44" i="100"/>
  <c r="Z228" i="100"/>
  <c r="T228" i="100"/>
  <c r="V228" i="100"/>
  <c r="X228" i="100" s="1"/>
  <c r="T49" i="100"/>
  <c r="V49" i="100"/>
  <c r="X49" i="100" s="1"/>
  <c r="Z242" i="100"/>
  <c r="V242" i="100"/>
  <c r="X242" i="100" s="1"/>
  <c r="T242" i="100"/>
  <c r="Z371" i="100"/>
  <c r="V371" i="100"/>
  <c r="X371" i="100" s="1"/>
  <c r="T371" i="100"/>
  <c r="V206" i="100"/>
  <c r="X206" i="100" s="1"/>
  <c r="T206" i="100"/>
  <c r="Z312" i="100"/>
  <c r="V312" i="100"/>
  <c r="X312" i="100" s="1"/>
  <c r="T312" i="100"/>
  <c r="Y312" i="100" s="1"/>
  <c r="Z122" i="100"/>
  <c r="T122" i="100"/>
  <c r="V122" i="100"/>
  <c r="X122" i="100" s="1"/>
  <c r="Y122" i="100" s="1"/>
  <c r="AF122" i="100" s="1"/>
  <c r="Z316" i="100"/>
  <c r="V316" i="100"/>
  <c r="X316" i="100" s="1"/>
  <c r="T316" i="100"/>
  <c r="S209" i="100"/>
  <c r="S198" i="100"/>
  <c r="S197" i="100"/>
  <c r="S139" i="100"/>
  <c r="S146" i="100"/>
  <c r="S145" i="100"/>
  <c r="S144" i="100"/>
  <c r="S143" i="100"/>
  <c r="S138" i="100"/>
  <c r="S137" i="100"/>
  <c r="S136" i="100"/>
  <c r="S135" i="100"/>
  <c r="S147" i="100" s="1"/>
  <c r="S192" i="100"/>
  <c r="Z134" i="100"/>
  <c r="V134" i="100"/>
  <c r="X134" i="100" s="1"/>
  <c r="T134" i="100"/>
  <c r="Z369" i="100"/>
  <c r="T369" i="100"/>
  <c r="V369" i="100"/>
  <c r="X369" i="100" s="1"/>
  <c r="T94" i="100"/>
  <c r="V94" i="100"/>
  <c r="X94" i="100" s="1"/>
  <c r="Z246" i="100"/>
  <c r="V246" i="100"/>
  <c r="X246" i="100" s="1"/>
  <c r="T246" i="100"/>
  <c r="Y246" i="100" s="1"/>
  <c r="T69" i="100"/>
  <c r="V69" i="100"/>
  <c r="X69" i="100" s="1"/>
  <c r="T253" i="100"/>
  <c r="V253" i="100"/>
  <c r="X253" i="100" s="1"/>
  <c r="Z294" i="100"/>
  <c r="T294" i="100"/>
  <c r="V294" i="100"/>
  <c r="X294" i="100" s="1"/>
  <c r="Z382" i="100"/>
  <c r="T382" i="100"/>
  <c r="V382" i="100"/>
  <c r="X382" i="100" s="1"/>
  <c r="Y382" i="100" s="1"/>
  <c r="Z339" i="100"/>
  <c r="T339" i="100"/>
  <c r="V339" i="100"/>
  <c r="X339" i="100" s="1"/>
  <c r="Z222" i="100"/>
  <c r="T222" i="100"/>
  <c r="V222" i="100"/>
  <c r="X222" i="100" s="1"/>
  <c r="Z240" i="100"/>
  <c r="V240" i="100"/>
  <c r="X240" i="100" s="1"/>
  <c r="T240" i="100"/>
  <c r="V67" i="100"/>
  <c r="X67" i="100" s="1"/>
  <c r="T67" i="100"/>
  <c r="Y67" i="100" s="1"/>
  <c r="Z224" i="100"/>
  <c r="T224" i="100"/>
  <c r="V224" i="100"/>
  <c r="X224" i="100" s="1"/>
  <c r="T93" i="100"/>
  <c r="V93" i="100"/>
  <c r="X93" i="100" s="1"/>
  <c r="T89" i="100"/>
  <c r="V89" i="100"/>
  <c r="X89" i="100" s="1"/>
  <c r="V40" i="100"/>
  <c r="X40" i="100" s="1"/>
  <c r="T40" i="100"/>
  <c r="Y40" i="100" s="1"/>
  <c r="V171" i="100"/>
  <c r="X171" i="100" s="1"/>
  <c r="T171" i="100"/>
  <c r="Z229" i="100"/>
  <c r="T229" i="100"/>
  <c r="V229" i="100"/>
  <c r="X229" i="100" s="1"/>
  <c r="V174" i="100"/>
  <c r="X174" i="100" s="1"/>
  <c r="T174" i="100"/>
  <c r="V263" i="100"/>
  <c r="X263" i="100" s="1"/>
  <c r="T263" i="100"/>
  <c r="V204" i="100"/>
  <c r="X204" i="100" s="1"/>
  <c r="T204" i="100"/>
  <c r="V159" i="100"/>
  <c r="X159" i="100" s="1"/>
  <c r="T159" i="100"/>
  <c r="T55" i="100"/>
  <c r="V55" i="100"/>
  <c r="X55" i="100" s="1"/>
  <c r="T118" i="100"/>
  <c r="V118" i="100"/>
  <c r="X118" i="100" s="1"/>
  <c r="V84" i="100"/>
  <c r="X84" i="100" s="1"/>
  <c r="T84" i="100"/>
  <c r="Z380" i="100"/>
  <c r="T380" i="100"/>
  <c r="V380" i="100"/>
  <c r="Z310" i="100"/>
  <c r="T310" i="100"/>
  <c r="V310" i="100"/>
  <c r="X310" i="100" s="1"/>
  <c r="V66" i="100"/>
  <c r="X66" i="100" s="1"/>
  <c r="T66" i="100"/>
  <c r="T274" i="100"/>
  <c r="V274" i="100"/>
  <c r="X274" i="100" s="1"/>
  <c r="V71" i="100"/>
  <c r="X71" i="100" s="1"/>
  <c r="T71" i="100"/>
  <c r="Z285" i="100"/>
  <c r="V285" i="100"/>
  <c r="X285" i="100" s="1"/>
  <c r="T285" i="100"/>
  <c r="V83" i="100"/>
  <c r="X83" i="100" s="1"/>
  <c r="T83" i="100"/>
  <c r="T250" i="100"/>
  <c r="V250" i="100"/>
  <c r="X250" i="100" s="1"/>
  <c r="T34" i="100"/>
  <c r="Z34" i="100"/>
  <c r="V34" i="100"/>
  <c r="X34" i="100" s="1"/>
  <c r="Z239" i="100"/>
  <c r="V239" i="100"/>
  <c r="X239" i="100" s="1"/>
  <c r="T239" i="100"/>
  <c r="Z334" i="100"/>
  <c r="T334" i="100"/>
  <c r="V334" i="100"/>
  <c r="X334" i="100" s="1"/>
  <c r="T160" i="100"/>
  <c r="V160" i="100"/>
  <c r="X160" i="100" s="1"/>
  <c r="Z338" i="100"/>
  <c r="V338" i="100"/>
  <c r="X338" i="100" s="1"/>
  <c r="T338" i="100"/>
  <c r="V30" i="100"/>
  <c r="X30" i="100" s="1"/>
  <c r="Z30" i="100"/>
  <c r="T30" i="100"/>
  <c r="V21" i="100"/>
  <c r="X21" i="100" s="1"/>
  <c r="T21" i="100"/>
  <c r="V64" i="100"/>
  <c r="X64" i="100" s="1"/>
  <c r="T64" i="100"/>
  <c r="Z324" i="100"/>
  <c r="V324" i="100"/>
  <c r="X324" i="100" s="1"/>
  <c r="T324" i="100"/>
  <c r="V272" i="100"/>
  <c r="X272" i="100" s="1"/>
  <c r="T272" i="100"/>
  <c r="Z329" i="100"/>
  <c r="V329" i="100"/>
  <c r="X329" i="100" s="1"/>
  <c r="T329" i="100"/>
  <c r="Y329" i="100" s="1"/>
  <c r="Z323" i="100"/>
  <c r="V323" i="100"/>
  <c r="X323" i="100" s="1"/>
  <c r="T323" i="100"/>
  <c r="Y323" i="100" s="1"/>
  <c r="Z234" i="100"/>
  <c r="T234" i="100"/>
  <c r="V234" i="100"/>
  <c r="X234" i="100" s="1"/>
  <c r="T27" i="100"/>
  <c r="V27" i="100"/>
  <c r="X27" i="100" s="1"/>
  <c r="Z237" i="100"/>
  <c r="T237" i="100"/>
  <c r="V237" i="100"/>
  <c r="X237" i="100" s="1"/>
  <c r="V270" i="100"/>
  <c r="X270" i="100" s="1"/>
  <c r="T270" i="100"/>
  <c r="Y270" i="100" s="1"/>
  <c r="Z335" i="100"/>
  <c r="T335" i="100"/>
  <c r="V335" i="100"/>
  <c r="X335" i="100" s="1"/>
  <c r="V111" i="100"/>
  <c r="X111" i="100" s="1"/>
  <c r="T111" i="100"/>
  <c r="V98" i="100"/>
  <c r="X98" i="100" s="1"/>
  <c r="T98" i="100"/>
  <c r="T186" i="100"/>
  <c r="V186" i="100"/>
  <c r="T265" i="100"/>
  <c r="V265" i="100"/>
  <c r="X265" i="100" s="1"/>
  <c r="Z31" i="100"/>
  <c r="T31" i="100"/>
  <c r="V31" i="100"/>
  <c r="X31" i="100" s="1"/>
  <c r="V90" i="100"/>
  <c r="X90" i="100" s="1"/>
  <c r="T90" i="100"/>
  <c r="T80" i="100"/>
  <c r="V80" i="100"/>
  <c r="X80" i="100" s="1"/>
  <c r="T117" i="100"/>
  <c r="V117" i="100"/>
  <c r="X117" i="100" s="1"/>
  <c r="Y117" i="100" s="1"/>
  <c r="AF117" i="100" s="1"/>
  <c r="Z319" i="100"/>
  <c r="T319" i="100"/>
  <c r="V319" i="100"/>
  <c r="X319" i="100" s="1"/>
  <c r="V52" i="100"/>
  <c r="X52" i="100" s="1"/>
  <c r="T52" i="100"/>
  <c r="V249" i="100"/>
  <c r="X249" i="100" s="1"/>
  <c r="T249" i="100"/>
  <c r="V51" i="100"/>
  <c r="X51" i="100" s="1"/>
  <c r="T51" i="100"/>
  <c r="T172" i="100"/>
  <c r="V172" i="100"/>
  <c r="X172" i="100" s="1"/>
  <c r="Y172" i="100" s="1"/>
  <c r="AF172" i="100" s="1"/>
  <c r="V119" i="100"/>
  <c r="X119" i="100" s="1"/>
  <c r="T119" i="100"/>
  <c r="Z306" i="100"/>
  <c r="T306" i="100"/>
  <c r="V306" i="100"/>
  <c r="X306" i="100" s="1"/>
  <c r="T252" i="100"/>
  <c r="V252" i="100"/>
  <c r="X252" i="100" s="1"/>
  <c r="T25" i="100"/>
  <c r="V25" i="100"/>
  <c r="X25" i="100" s="1"/>
  <c r="Y25" i="100" s="1"/>
  <c r="AF25" i="100" s="1"/>
  <c r="V57" i="100"/>
  <c r="X57" i="100" s="1"/>
  <c r="T57" i="100"/>
  <c r="V350" i="100"/>
  <c r="X350" i="100" s="1"/>
  <c r="T350" i="100"/>
  <c r="V97" i="100"/>
  <c r="X97" i="100" s="1"/>
  <c r="T97" i="100"/>
  <c r="Z320" i="100"/>
  <c r="V320" i="100"/>
  <c r="X320" i="100" s="1"/>
  <c r="T320" i="100"/>
  <c r="T105" i="100"/>
  <c r="V105" i="100"/>
  <c r="X105" i="100" s="1"/>
  <c r="Y105" i="100" s="1"/>
  <c r="AF105" i="100" s="1"/>
  <c r="Z331" i="100"/>
  <c r="T331" i="100"/>
  <c r="V331" i="100"/>
  <c r="X331" i="100" s="1"/>
  <c r="T110" i="100"/>
  <c r="V110" i="100"/>
  <c r="X110" i="100" s="1"/>
  <c r="T276" i="100"/>
  <c r="V276" i="100"/>
  <c r="X276" i="100" s="1"/>
  <c r="V54" i="100"/>
  <c r="X54" i="100" s="1"/>
  <c r="T54" i="100"/>
  <c r="Y54" i="100" s="1"/>
  <c r="AF54" i="100" s="1"/>
  <c r="V247" i="100"/>
  <c r="X247" i="100" s="1"/>
  <c r="T247" i="100"/>
  <c r="T354" i="100"/>
  <c r="V354" i="100"/>
  <c r="X354" i="100" s="1"/>
  <c r="T189" i="100"/>
  <c r="Z189" i="100"/>
  <c r="V189" i="100"/>
  <c r="X189" i="100" s="1"/>
  <c r="Z358" i="100"/>
  <c r="T358" i="100"/>
  <c r="V358" i="100"/>
  <c r="X358" i="100" s="1"/>
  <c r="Y358" i="100" s="1"/>
  <c r="E21" i="97"/>
  <c r="E40" i="71"/>
  <c r="I40" i="71" s="1"/>
  <c r="L40" i="71" s="1"/>
  <c r="N40" i="71" s="1"/>
  <c r="E30" i="97"/>
  <c r="C58" i="71"/>
  <c r="C64" i="71"/>
  <c r="C85" i="71"/>
  <c r="C74" i="71"/>
  <c r="C72" i="71"/>
  <c r="C66" i="71"/>
  <c r="C24" i="71"/>
  <c r="Y212" i="100" l="1"/>
  <c r="Y78" i="100"/>
  <c r="Y249" i="100"/>
  <c r="AF249" i="100" s="1"/>
  <c r="Y98" i="100"/>
  <c r="Y334" i="100"/>
  <c r="Y66" i="100"/>
  <c r="Y174" i="100"/>
  <c r="AF174" i="100" s="1"/>
  <c r="Y38" i="100"/>
  <c r="AF38" i="100" s="1"/>
  <c r="Y102" i="100"/>
  <c r="AF102" i="100" s="1"/>
  <c r="Y72" i="100"/>
  <c r="AF72" i="100" s="1"/>
  <c r="Y243" i="100"/>
  <c r="Y207" i="100"/>
  <c r="AF207" i="100" s="1"/>
  <c r="Y33" i="100"/>
  <c r="AF33" i="100" s="1"/>
  <c r="Y226" i="100"/>
  <c r="Y350" i="100"/>
  <c r="AF350" i="100" s="1"/>
  <c r="Y272" i="100"/>
  <c r="Y239" i="100"/>
  <c r="AF239" i="100" s="1"/>
  <c r="Y44" i="100"/>
  <c r="AF44" i="100" s="1"/>
  <c r="Y297" i="100"/>
  <c r="AF297" i="100" s="1"/>
  <c r="Y202" i="100"/>
  <c r="AF202" i="100" s="1"/>
  <c r="Y245" i="100"/>
  <c r="Y384" i="100"/>
  <c r="Y177" i="100"/>
  <c r="AF177" i="100" s="1"/>
  <c r="Y314" i="100"/>
  <c r="Y21" i="100"/>
  <c r="AF21" i="100" s="1"/>
  <c r="Y206" i="100"/>
  <c r="AF206" i="100" s="1"/>
  <c r="Y50" i="100"/>
  <c r="AF50" i="100" s="1"/>
  <c r="Y383" i="100"/>
  <c r="AF383" i="100" s="1"/>
  <c r="Y244" i="100"/>
  <c r="AF244" i="100" s="1"/>
  <c r="Y203" i="100"/>
  <c r="AF203" i="100" s="1"/>
  <c r="Y337" i="100"/>
  <c r="AF337" i="100" s="1"/>
  <c r="Y267" i="100"/>
  <c r="AF267" i="100" s="1"/>
  <c r="Y353" i="100"/>
  <c r="AF353" i="100" s="1"/>
  <c r="Y366" i="100"/>
  <c r="AF366" i="100" s="1"/>
  <c r="Y179" i="100"/>
  <c r="AF179" i="100" s="1"/>
  <c r="Y306" i="100"/>
  <c r="Y90" i="100"/>
  <c r="AF90" i="100" s="1"/>
  <c r="Y83" i="100"/>
  <c r="AF83" i="100" s="1"/>
  <c r="Y298" i="100"/>
  <c r="AF298" i="100" s="1"/>
  <c r="Y317" i="100"/>
  <c r="AF317" i="100" s="1"/>
  <c r="Y277" i="100"/>
  <c r="AF277" i="100" s="1"/>
  <c r="Y365" i="100"/>
  <c r="AF365" i="100" s="1"/>
  <c r="AF372" i="100"/>
  <c r="Y52" i="100"/>
  <c r="AF52" i="100" s="1"/>
  <c r="Y111" i="100"/>
  <c r="AF111" i="100" s="1"/>
  <c r="Y310" i="100"/>
  <c r="AF310" i="100" s="1"/>
  <c r="Y344" i="100"/>
  <c r="AF344" i="100" s="1"/>
  <c r="Y113" i="100"/>
  <c r="AF113" i="100" s="1"/>
  <c r="Y352" i="100"/>
  <c r="AF352" i="100" s="1"/>
  <c r="Y368" i="100"/>
  <c r="AF368" i="100" s="1"/>
  <c r="Y158" i="100"/>
  <c r="AF158" i="100" s="1"/>
  <c r="Y336" i="100"/>
  <c r="AF336" i="100" s="1"/>
  <c r="Y178" i="100"/>
  <c r="AF178" i="100" s="1"/>
  <c r="Y269" i="100"/>
  <c r="AF269" i="100" s="1"/>
  <c r="Y114" i="100"/>
  <c r="AF114" i="100" s="1"/>
  <c r="Y42" i="100"/>
  <c r="AF42" i="100" s="1"/>
  <c r="Y85" i="100"/>
  <c r="AF85" i="100" s="1"/>
  <c r="Y45" i="100"/>
  <c r="AF45" i="100" s="1"/>
  <c r="Y322" i="100"/>
  <c r="AF322" i="100" s="1"/>
  <c r="Y295" i="100"/>
  <c r="AF295" i="100" s="1"/>
  <c r="Y48" i="100"/>
  <c r="AF48" i="100" s="1"/>
  <c r="Y29" i="100"/>
  <c r="AF29" i="100" s="1"/>
  <c r="Y175" i="100"/>
  <c r="AF175" i="100" s="1"/>
  <c r="Y41" i="100"/>
  <c r="AF41" i="100" s="1"/>
  <c r="Y194" i="100"/>
  <c r="AF194" i="100" s="1"/>
  <c r="Y313" i="100"/>
  <c r="AF313" i="100" s="1"/>
  <c r="Y94" i="100"/>
  <c r="AF94" i="100" s="1"/>
  <c r="Y311" i="100"/>
  <c r="AF311" i="100" s="1"/>
  <c r="Y87" i="100"/>
  <c r="AF87" i="100" s="1"/>
  <c r="AF212" i="100"/>
  <c r="T213" i="100"/>
  <c r="V213" i="100"/>
  <c r="X213" i="100" s="1"/>
  <c r="Z213" i="100"/>
  <c r="Y65" i="100"/>
  <c r="AF65" i="100" s="1"/>
  <c r="T147" i="100"/>
  <c r="Z147" i="100"/>
  <c r="V147" i="100"/>
  <c r="X147" i="100" s="1"/>
  <c r="Y331" i="100"/>
  <c r="AF331" i="100" s="1"/>
  <c r="Y285" i="100"/>
  <c r="AF285" i="100" s="1"/>
  <c r="Y253" i="100"/>
  <c r="AF253" i="100" s="1"/>
  <c r="Y210" i="100"/>
  <c r="AF210" i="100" s="1"/>
  <c r="Y76" i="100"/>
  <c r="AF76" i="100" s="1"/>
  <c r="Y357" i="100"/>
  <c r="AF357" i="100" s="1"/>
  <c r="Y81" i="100"/>
  <c r="AF81" i="100" s="1"/>
  <c r="Y119" i="100"/>
  <c r="AF119" i="100" s="1"/>
  <c r="Y159" i="100"/>
  <c r="AF159" i="100" s="1"/>
  <c r="Y200" i="100"/>
  <c r="AF200" i="100" s="1"/>
  <c r="Y156" i="100"/>
  <c r="AF156" i="100" s="1"/>
  <c r="Y208" i="100"/>
  <c r="AF208" i="100" s="1"/>
  <c r="Y343" i="100"/>
  <c r="AF343" i="100" s="1"/>
  <c r="Y275" i="100"/>
  <c r="AF275" i="100" s="1"/>
  <c r="Y293" i="100"/>
  <c r="AF293" i="100" s="1"/>
  <c r="Y109" i="100"/>
  <c r="AF109" i="100" s="1"/>
  <c r="Y75" i="100"/>
  <c r="AF75" i="100" s="1"/>
  <c r="Y231" i="100"/>
  <c r="AF231" i="100" s="1"/>
  <c r="Y356" i="100"/>
  <c r="AF356" i="100" s="1"/>
  <c r="AF306" i="100"/>
  <c r="Y30" i="100"/>
  <c r="AF30" i="100" s="1"/>
  <c r="Y55" i="100"/>
  <c r="AF55" i="100" s="1"/>
  <c r="Y371" i="100"/>
  <c r="AF371" i="100" s="1"/>
  <c r="Y348" i="100"/>
  <c r="AF348" i="100" s="1"/>
  <c r="Y103" i="100"/>
  <c r="AF103" i="100" s="1"/>
  <c r="Y32" i="100"/>
  <c r="AF32" i="100" s="1"/>
  <c r="Y235" i="100"/>
  <c r="AF235" i="100" s="1"/>
  <c r="Y173" i="100"/>
  <c r="AF173" i="100" s="1"/>
  <c r="Y63" i="100"/>
  <c r="AF63" i="100" s="1"/>
  <c r="Y205" i="100"/>
  <c r="AF205" i="100" s="1"/>
  <c r="Y230" i="100"/>
  <c r="AF230" i="100" s="1"/>
  <c r="Y282" i="100"/>
  <c r="AF282" i="100" s="1"/>
  <c r="Y262" i="100"/>
  <c r="AF262" i="100" s="1"/>
  <c r="Y26" i="100"/>
  <c r="AF26" i="100" s="1"/>
  <c r="Y79" i="100"/>
  <c r="AF79" i="100" s="1"/>
  <c r="Y278" i="100"/>
  <c r="AF278" i="100" s="1"/>
  <c r="AF329" i="100"/>
  <c r="AF226" i="100"/>
  <c r="Y189" i="100"/>
  <c r="AF189" i="100" s="1"/>
  <c r="AF334" i="100"/>
  <c r="Y97" i="100"/>
  <c r="AF97" i="100" s="1"/>
  <c r="Y316" i="100"/>
  <c r="AF316" i="100" s="1"/>
  <c r="Y120" i="100"/>
  <c r="AF120" i="100" s="1"/>
  <c r="Y315" i="100"/>
  <c r="AF315" i="100" s="1"/>
  <c r="Y116" i="100"/>
  <c r="AF116" i="100" s="1"/>
  <c r="Y201" i="100"/>
  <c r="AF201" i="100" s="1"/>
  <c r="Y309" i="100"/>
  <c r="AF309" i="100" s="1"/>
  <c r="Y161" i="100"/>
  <c r="AF161" i="100" s="1"/>
  <c r="AF382" i="100"/>
  <c r="AF312" i="100"/>
  <c r="AF241" i="100"/>
  <c r="AF347" i="100"/>
  <c r="Y211" i="100"/>
  <c r="AF211" i="100" s="1"/>
  <c r="Y71" i="100"/>
  <c r="AF71" i="100" s="1"/>
  <c r="Y204" i="100"/>
  <c r="AF204" i="100" s="1"/>
  <c r="Y251" i="100"/>
  <c r="AF251" i="100" s="1"/>
  <c r="Y59" i="100"/>
  <c r="AF59" i="100" s="1"/>
  <c r="Y247" i="100"/>
  <c r="AF247" i="100" s="1"/>
  <c r="Y57" i="100"/>
  <c r="AF57" i="100" s="1"/>
  <c r="Y324" i="100"/>
  <c r="AF324" i="100" s="1"/>
  <c r="Y171" i="100"/>
  <c r="AF171" i="100" s="1"/>
  <c r="Y134" i="100"/>
  <c r="AF134" i="100" s="1"/>
  <c r="Y238" i="100"/>
  <c r="AF238" i="100" s="1"/>
  <c r="Y22" i="100"/>
  <c r="AF22" i="100" s="1"/>
  <c r="Y176" i="100"/>
  <c r="AF176" i="100" s="1"/>
  <c r="Y195" i="100"/>
  <c r="AF195" i="100" s="1"/>
  <c r="Y232" i="100"/>
  <c r="AF232" i="100" s="1"/>
  <c r="Y359" i="100"/>
  <c r="AF359" i="100" s="1"/>
  <c r="Y264" i="100"/>
  <c r="AF264" i="100" s="1"/>
  <c r="Y64" i="100"/>
  <c r="AF64" i="100" s="1"/>
  <c r="Y84" i="100"/>
  <c r="AF84" i="100" s="1"/>
  <c r="Y58" i="100"/>
  <c r="AF58" i="100" s="1"/>
  <c r="Y132" i="100"/>
  <c r="Y121" i="100"/>
  <c r="AF121" i="100" s="1"/>
  <c r="Y170" i="100"/>
  <c r="AF170" i="100" s="1"/>
  <c r="Y351" i="100"/>
  <c r="AF351" i="100" s="1"/>
  <c r="Y20" i="100"/>
  <c r="AF20" i="100" s="1"/>
  <c r="Y133" i="100"/>
  <c r="Y318" i="100"/>
  <c r="AF318" i="100" s="1"/>
  <c r="Y104" i="100"/>
  <c r="AF104" i="100" s="1"/>
  <c r="AF360" i="100"/>
  <c r="Y290" i="100"/>
  <c r="AF290" i="100" s="1"/>
  <c r="Y266" i="100"/>
  <c r="AF266" i="100" s="1"/>
  <c r="Y106" i="100"/>
  <c r="AF106" i="100" s="1"/>
  <c r="Y225" i="100"/>
  <c r="AF225" i="100" s="1"/>
  <c r="Y80" i="100"/>
  <c r="AF80" i="100" s="1"/>
  <c r="Y305" i="100"/>
  <c r="AF305" i="100" s="1"/>
  <c r="Y338" i="100"/>
  <c r="AF338" i="100" s="1"/>
  <c r="AF66" i="100"/>
  <c r="X130" i="100"/>
  <c r="AF314" i="100"/>
  <c r="X380" i="100"/>
  <c r="V386" i="100"/>
  <c r="V388" i="100" s="1"/>
  <c r="L22" i="63" s="1"/>
  <c r="Y346" i="100"/>
  <c r="AF346" i="100" s="1"/>
  <c r="S191" i="100"/>
  <c r="V192" i="100"/>
  <c r="X192" i="100" s="1"/>
  <c r="Z192" i="100"/>
  <c r="T192" i="100"/>
  <c r="Y250" i="100"/>
  <c r="AF250" i="100" s="1"/>
  <c r="Y89" i="100"/>
  <c r="AF89" i="100" s="1"/>
  <c r="S142" i="100"/>
  <c r="S140" i="100"/>
  <c r="Z135" i="100"/>
  <c r="T135" i="100"/>
  <c r="V135" i="100"/>
  <c r="X135" i="100" s="1"/>
  <c r="Y36" i="100"/>
  <c r="AF36" i="100" s="1"/>
  <c r="Y24" i="100"/>
  <c r="AF24" i="100" s="1"/>
  <c r="Y268" i="100"/>
  <c r="AF268" i="100" s="1"/>
  <c r="Y99" i="100"/>
  <c r="AF99" i="100" s="1"/>
  <c r="Y345" i="100"/>
  <c r="AF345" i="100" s="1"/>
  <c r="Y332" i="100"/>
  <c r="AF332" i="100" s="1"/>
  <c r="Y39" i="100"/>
  <c r="AF39" i="100" s="1"/>
  <c r="Y303" i="100"/>
  <c r="AF303" i="100" s="1"/>
  <c r="Y355" i="100"/>
  <c r="AF355" i="100" s="1"/>
  <c r="Y131" i="100"/>
  <c r="AF131" i="100" s="1"/>
  <c r="AF270" i="100"/>
  <c r="Y82" i="100"/>
  <c r="AF82" i="100" s="1"/>
  <c r="Y100" i="100"/>
  <c r="AF100" i="100" s="1"/>
  <c r="Y283" i="100"/>
  <c r="AF283" i="100" s="1"/>
  <c r="Y349" i="100"/>
  <c r="AF349" i="100" s="1"/>
  <c r="Y96" i="100"/>
  <c r="AF96" i="100" s="1"/>
  <c r="Y252" i="100"/>
  <c r="AF252" i="100" s="1"/>
  <c r="S141" i="100"/>
  <c r="Z138" i="100"/>
  <c r="V138" i="100"/>
  <c r="X138" i="100" s="1"/>
  <c r="T138" i="100"/>
  <c r="T125" i="100"/>
  <c r="T127" i="100" s="1"/>
  <c r="J15" i="63" s="1"/>
  <c r="Y248" i="100"/>
  <c r="AF248" i="100" s="1"/>
  <c r="Y340" i="100"/>
  <c r="AF340" i="100" s="1"/>
  <c r="Y112" i="100"/>
  <c r="AF112" i="100" s="1"/>
  <c r="V163" i="100"/>
  <c r="V165" i="100" s="1"/>
  <c r="L17" i="63" s="1"/>
  <c r="X155" i="100"/>
  <c r="Y43" i="100"/>
  <c r="AF43" i="100" s="1"/>
  <c r="Y222" i="100"/>
  <c r="AF222" i="100" s="1"/>
  <c r="Y354" i="100"/>
  <c r="AF354" i="100" s="1"/>
  <c r="T386" i="100"/>
  <c r="T388" i="100" s="1"/>
  <c r="Y28" i="100"/>
  <c r="AF28" i="100" s="1"/>
  <c r="Y110" i="100"/>
  <c r="AF110" i="100" s="1"/>
  <c r="Y93" i="100"/>
  <c r="AF93" i="100" s="1"/>
  <c r="V137" i="100"/>
  <c r="X137" i="100" s="1"/>
  <c r="Z137" i="100"/>
  <c r="T137" i="100"/>
  <c r="Y27" i="100"/>
  <c r="AF27" i="100" s="1"/>
  <c r="Y224" i="100"/>
  <c r="AF224" i="100" s="1"/>
  <c r="V143" i="100"/>
  <c r="X143" i="100" s="1"/>
  <c r="T143" i="100"/>
  <c r="Y86" i="100"/>
  <c r="AF86" i="100" s="1"/>
  <c r="X17" i="100"/>
  <c r="V125" i="100"/>
  <c r="V127" i="100" s="1"/>
  <c r="L15" i="63" s="1"/>
  <c r="V255" i="100"/>
  <c r="V257" i="100" s="1"/>
  <c r="L20" i="63" s="1"/>
  <c r="X220" i="100"/>
  <c r="T163" i="100"/>
  <c r="T165" i="100" s="1"/>
  <c r="J17" i="63" s="1"/>
  <c r="Y284" i="100"/>
  <c r="AF284" i="100" s="1"/>
  <c r="Y53" i="100"/>
  <c r="AF53" i="100" s="1"/>
  <c r="Z209" i="100"/>
  <c r="T209" i="100"/>
  <c r="V209" i="100"/>
  <c r="X209" i="100" s="1"/>
  <c r="X261" i="100"/>
  <c r="Y261" i="100" s="1"/>
  <c r="Y369" i="100"/>
  <c r="AF369" i="100" s="1"/>
  <c r="AF272" i="100"/>
  <c r="AF245" i="100"/>
  <c r="Y34" i="100"/>
  <c r="AF34" i="100" s="1"/>
  <c r="Y35" i="100"/>
  <c r="AF35" i="100" s="1"/>
  <c r="AF233" i="100"/>
  <c r="Z125" i="100"/>
  <c r="Z127" i="100" s="1"/>
  <c r="P15" i="63" s="1"/>
  <c r="Y276" i="100"/>
  <c r="AF276" i="100" s="1"/>
  <c r="Y31" i="100"/>
  <c r="AF31" i="100" s="1"/>
  <c r="V144" i="100"/>
  <c r="X144" i="100" s="1"/>
  <c r="T144" i="100"/>
  <c r="Y115" i="100"/>
  <c r="AF115" i="100" s="1"/>
  <c r="Y302" i="100"/>
  <c r="AF302" i="100" s="1"/>
  <c r="T255" i="100"/>
  <c r="T257" i="100" s="1"/>
  <c r="J20" i="63" s="1"/>
  <c r="Y292" i="100"/>
  <c r="AF292" i="100" s="1"/>
  <c r="Y228" i="100"/>
  <c r="AF228" i="100" s="1"/>
  <c r="Y286" i="100"/>
  <c r="AF286" i="100" s="1"/>
  <c r="S281" i="100"/>
  <c r="S288" i="100"/>
  <c r="V280" i="100"/>
  <c r="X280" i="100" s="1"/>
  <c r="T280" i="100"/>
  <c r="Y335" i="100"/>
  <c r="AF335" i="100" s="1"/>
  <c r="AF40" i="100"/>
  <c r="AF91" i="100"/>
  <c r="Y118" i="100"/>
  <c r="AF118" i="100" s="1"/>
  <c r="Z136" i="100"/>
  <c r="T136" i="100"/>
  <c r="V136" i="100"/>
  <c r="X136" i="100" s="1"/>
  <c r="Y294" i="100"/>
  <c r="AF294" i="100" s="1"/>
  <c r="Y234" i="100"/>
  <c r="AF234" i="100" s="1"/>
  <c r="Y69" i="100"/>
  <c r="AF69" i="100" s="1"/>
  <c r="Z145" i="100"/>
  <c r="T145" i="100"/>
  <c r="V145" i="100"/>
  <c r="X145" i="100" s="1"/>
  <c r="Y242" i="100"/>
  <c r="AF242" i="100" s="1"/>
  <c r="Y273" i="100"/>
  <c r="AF273" i="100" s="1"/>
  <c r="Y61" i="100"/>
  <c r="AF61" i="100" s="1"/>
  <c r="Y74" i="100"/>
  <c r="AF74" i="100" s="1"/>
  <c r="Y271" i="100"/>
  <c r="AF271" i="100" s="1"/>
  <c r="Y342" i="100"/>
  <c r="AF342" i="100" s="1"/>
  <c r="Z255" i="100"/>
  <c r="Z257" i="100" s="1"/>
  <c r="P20" i="63" s="1"/>
  <c r="Y47" i="100"/>
  <c r="AF47" i="100" s="1"/>
  <c r="Y190" i="100"/>
  <c r="AF190" i="100" s="1"/>
  <c r="Y88" i="100"/>
  <c r="AF88" i="100" s="1"/>
  <c r="Y188" i="100"/>
  <c r="AF188" i="100" s="1"/>
  <c r="Y381" i="100"/>
  <c r="AF381" i="100" s="1"/>
  <c r="Y304" i="100"/>
  <c r="AF304" i="100" s="1"/>
  <c r="X168" i="100"/>
  <c r="V181" i="100"/>
  <c r="V183" i="100" s="1"/>
  <c r="L18" i="63" s="1"/>
  <c r="AF101" i="100"/>
  <c r="Y265" i="100"/>
  <c r="AF265" i="100" s="1"/>
  <c r="Z146" i="100"/>
  <c r="T146" i="100"/>
  <c r="V146" i="100"/>
  <c r="X146" i="100" s="1"/>
  <c r="AF325" i="100"/>
  <c r="Y70" i="100"/>
  <c r="AF70" i="100" s="1"/>
  <c r="Y196" i="100"/>
  <c r="AF196" i="100" s="1"/>
  <c r="V198" i="100"/>
  <c r="X198" i="100" s="1"/>
  <c r="Z198" i="100"/>
  <c r="T198" i="100"/>
  <c r="AF243" i="100"/>
  <c r="Y62" i="100"/>
  <c r="AF62" i="100" s="1"/>
  <c r="T181" i="100"/>
  <c r="T183" i="100" s="1"/>
  <c r="J18" i="63" s="1"/>
  <c r="Y339" i="100"/>
  <c r="AF339" i="100" s="1"/>
  <c r="AF367" i="100"/>
  <c r="Y341" i="100"/>
  <c r="AF341" i="100" s="1"/>
  <c r="Z386" i="100"/>
  <c r="Z388" i="100" s="1"/>
  <c r="P22" i="63" s="1"/>
  <c r="Y237" i="100"/>
  <c r="AF237" i="100" s="1"/>
  <c r="AF67" i="100"/>
  <c r="AF246" i="100"/>
  <c r="Z139" i="100"/>
  <c r="V139" i="100"/>
  <c r="X139" i="100" s="1"/>
  <c r="T139" i="100"/>
  <c r="AF287" i="100"/>
  <c r="AF291" i="100"/>
  <c r="AF236" i="100"/>
  <c r="AF326" i="100"/>
  <c r="Y227" i="100"/>
  <c r="AF227" i="100" s="1"/>
  <c r="Y157" i="100"/>
  <c r="AF157" i="100" s="1"/>
  <c r="Y73" i="100"/>
  <c r="AF73" i="100" s="1"/>
  <c r="AF78" i="100"/>
  <c r="Y60" i="100"/>
  <c r="AF60" i="100" s="1"/>
  <c r="Y330" i="100"/>
  <c r="AF330" i="100" s="1"/>
  <c r="Y37" i="100"/>
  <c r="AF37" i="100" s="1"/>
  <c r="AF98" i="100"/>
  <c r="Y333" i="100"/>
  <c r="AF333" i="100" s="1"/>
  <c r="Y229" i="100"/>
  <c r="AF229" i="100" s="1"/>
  <c r="Y370" i="100"/>
  <c r="AF370" i="100" s="1"/>
  <c r="AF384" i="100"/>
  <c r="Y319" i="100"/>
  <c r="AF319" i="100" s="1"/>
  <c r="Y361" i="100"/>
  <c r="AF361" i="100" s="1"/>
  <c r="Y187" i="100"/>
  <c r="AF187" i="100" s="1"/>
  <c r="AF56" i="100"/>
  <c r="AF95" i="100"/>
  <c r="Y221" i="100"/>
  <c r="AF221" i="100" s="1"/>
  <c r="AF358" i="100"/>
  <c r="Y320" i="100"/>
  <c r="AF320" i="100" s="1"/>
  <c r="Y51" i="100"/>
  <c r="AF51" i="100" s="1"/>
  <c r="X186" i="100"/>
  <c r="AF323" i="100"/>
  <c r="Y160" i="100"/>
  <c r="AF160" i="100" s="1"/>
  <c r="Y274" i="100"/>
  <c r="AF274" i="100" s="1"/>
  <c r="Y263" i="100"/>
  <c r="AF263" i="100" s="1"/>
  <c r="Y240" i="100"/>
  <c r="AF240" i="100" s="1"/>
  <c r="V197" i="100"/>
  <c r="X197" i="100" s="1"/>
  <c r="Z197" i="100"/>
  <c r="T197" i="100"/>
  <c r="Y49" i="100"/>
  <c r="AF49" i="100" s="1"/>
  <c r="Y68" i="100"/>
  <c r="AF68" i="100" s="1"/>
  <c r="Y23" i="100"/>
  <c r="AF23" i="100" s="1"/>
  <c r="Y321" i="100"/>
  <c r="AF321" i="100" s="1"/>
  <c r="AF77" i="100"/>
  <c r="Y296" i="100"/>
  <c r="AF296" i="100" s="1"/>
  <c r="Y92" i="100"/>
  <c r="AF92" i="100" s="1"/>
  <c r="Y193" i="100"/>
  <c r="AF193" i="100" s="1"/>
  <c r="C19" i="71"/>
  <c r="D19" i="71" s="1"/>
  <c r="C17" i="71"/>
  <c r="D17" i="71" s="1"/>
  <c r="E17" i="71" s="1"/>
  <c r="I17" i="71" s="1"/>
  <c r="L17" i="71" s="1"/>
  <c r="I85" i="71"/>
  <c r="L85" i="71" s="1"/>
  <c r="N85" i="71" s="1"/>
  <c r="C15" i="71"/>
  <c r="D15" i="71" s="1"/>
  <c r="E15" i="71" s="1"/>
  <c r="I15" i="71" s="1"/>
  <c r="L15" i="71" s="1"/>
  <c r="E38" i="97"/>
  <c r="D24" i="71"/>
  <c r="E24" i="71" s="1"/>
  <c r="I24" i="71" s="1"/>
  <c r="L24" i="71" s="1"/>
  <c r="E54" i="97"/>
  <c r="E74" i="71"/>
  <c r="I74" i="71" s="1"/>
  <c r="E44" i="97"/>
  <c r="D64" i="71" s="1"/>
  <c r="E64" i="71" s="1"/>
  <c r="I64" i="71" s="1"/>
  <c r="E46" i="97"/>
  <c r="F46" i="97" s="1"/>
  <c r="D66" i="71" s="1"/>
  <c r="E66" i="71" s="1"/>
  <c r="I66" i="71" s="1"/>
  <c r="E52" i="97"/>
  <c r="F52" i="97" s="1"/>
  <c r="D72" i="71" s="1"/>
  <c r="E72" i="71" s="1"/>
  <c r="I72" i="71" s="1"/>
  <c r="C13" i="71"/>
  <c r="C21" i="71"/>
  <c r="C22" i="71"/>
  <c r="E22" i="71" s="1"/>
  <c r="I22" i="71" s="1"/>
  <c r="Y213" i="100" l="1"/>
  <c r="Y143" i="100"/>
  <c r="AF143" i="100" s="1"/>
  <c r="Y147" i="100"/>
  <c r="AF147" i="100" s="1"/>
  <c r="Y186" i="100"/>
  <c r="AF186" i="100" s="1"/>
  <c r="AF213" i="100"/>
  <c r="Y136" i="100"/>
  <c r="AF136" i="100" s="1"/>
  <c r="Y138" i="100"/>
  <c r="AF138" i="100" s="1"/>
  <c r="Y139" i="100"/>
  <c r="Y144" i="100"/>
  <c r="AF144" i="100" s="1"/>
  <c r="Y146" i="100"/>
  <c r="AF146" i="100" s="1"/>
  <c r="Y137" i="100"/>
  <c r="AF137" i="100" s="1"/>
  <c r="AF139" i="100"/>
  <c r="Y192" i="100"/>
  <c r="AF192" i="100" s="1"/>
  <c r="Y198" i="100"/>
  <c r="AF198" i="100" s="1"/>
  <c r="Y197" i="100"/>
  <c r="AF197" i="100" s="1"/>
  <c r="Z150" i="100"/>
  <c r="Z152" i="100" s="1"/>
  <c r="P16" i="63" s="1"/>
  <c r="Y280" i="100"/>
  <c r="AF280" i="100" s="1"/>
  <c r="Y145" i="100"/>
  <c r="AF145" i="100" s="1"/>
  <c r="T281" i="100"/>
  <c r="V281" i="100"/>
  <c r="X163" i="100"/>
  <c r="X165" i="100" s="1"/>
  <c r="Y155" i="100"/>
  <c r="Y163" i="100" s="1"/>
  <c r="Y165" i="100" s="1"/>
  <c r="N17" i="63" s="1"/>
  <c r="Y220" i="100"/>
  <c r="Y255" i="100" s="1"/>
  <c r="Y257" i="100" s="1"/>
  <c r="N20" i="63" s="1"/>
  <c r="X255" i="100"/>
  <c r="X257" i="100" s="1"/>
  <c r="X386" i="100"/>
  <c r="X388" i="100" s="1"/>
  <c r="Y380" i="100"/>
  <c r="Y386" i="100" s="1"/>
  <c r="Y388" i="100" s="1"/>
  <c r="N22" i="63" s="1"/>
  <c r="S327" i="100"/>
  <c r="S299" i="100"/>
  <c r="Z288" i="100"/>
  <c r="V288" i="100"/>
  <c r="X288" i="100" s="1"/>
  <c r="T288" i="100"/>
  <c r="X181" i="100"/>
  <c r="X183" i="100" s="1"/>
  <c r="Y168" i="100"/>
  <c r="Y181" i="100" s="1"/>
  <c r="Y183" i="100" s="1"/>
  <c r="N18" i="63" s="1"/>
  <c r="AF168" i="100"/>
  <c r="AF181" i="100" s="1"/>
  <c r="AF183" i="100" s="1"/>
  <c r="AF261" i="100"/>
  <c r="J22" i="63"/>
  <c r="V141" i="100"/>
  <c r="X141" i="100" s="1"/>
  <c r="T141" i="100"/>
  <c r="Y141" i="100" s="1"/>
  <c r="AF141" i="100" s="1"/>
  <c r="Y135" i="100"/>
  <c r="AF135" i="100" s="1"/>
  <c r="X125" i="100"/>
  <c r="X127" i="100" s="1"/>
  <c r="Y17" i="100"/>
  <c r="Y125" i="100" s="1"/>
  <c r="Y127" i="100" s="1"/>
  <c r="N15" i="63" s="1"/>
  <c r="Y130" i="100"/>
  <c r="AF130" i="100" s="1"/>
  <c r="T140" i="100"/>
  <c r="V140" i="100"/>
  <c r="X140" i="100" s="1"/>
  <c r="Z191" i="100"/>
  <c r="V191" i="100"/>
  <c r="V215" i="100" s="1"/>
  <c r="T191" i="100"/>
  <c r="T215" i="100" s="1"/>
  <c r="Y209" i="100"/>
  <c r="AF209" i="100" s="1"/>
  <c r="V142" i="100"/>
  <c r="X142" i="100" s="1"/>
  <c r="T142" i="100"/>
  <c r="C23" i="71"/>
  <c r="E23" i="71" s="1"/>
  <c r="I23" i="71" s="1"/>
  <c r="L23" i="71" s="1"/>
  <c r="N23" i="71" s="1"/>
  <c r="E19" i="71"/>
  <c r="I19" i="71" s="1"/>
  <c r="L19" i="71" s="1"/>
  <c r="D13" i="71"/>
  <c r="E13" i="71" s="1"/>
  <c r="I13" i="71" s="1"/>
  <c r="L13" i="71" s="1"/>
  <c r="D21" i="71"/>
  <c r="E21" i="71" s="1"/>
  <c r="I21" i="71" s="1"/>
  <c r="L21" i="71" s="1"/>
  <c r="L22" i="71"/>
  <c r="N22" i="71" s="1"/>
  <c r="C20" i="71"/>
  <c r="A5" i="54"/>
  <c r="A5" i="26"/>
  <c r="A5" i="29"/>
  <c r="A4" i="11"/>
  <c r="J80" i="20"/>
  <c r="Z215" i="100" l="1"/>
  <c r="Z217" i="100" s="1"/>
  <c r="P19" i="63" s="1"/>
  <c r="AF17" i="100"/>
  <c r="AF125" i="100" s="1"/>
  <c r="AF127" i="100" s="1"/>
  <c r="AF220" i="100"/>
  <c r="AF255" i="100" s="1"/>
  <c r="AF257" i="100" s="1"/>
  <c r="T150" i="100"/>
  <c r="T152" i="100" s="1"/>
  <c r="J16" i="63" s="1"/>
  <c r="AF380" i="100"/>
  <c r="AF386" i="100" s="1"/>
  <c r="AF388" i="100" s="1"/>
  <c r="X150" i="100"/>
  <c r="X152" i="100" s="1"/>
  <c r="Y142" i="100"/>
  <c r="AF142" i="100" s="1"/>
  <c r="AF155" i="100"/>
  <c r="AF163" i="100" s="1"/>
  <c r="AF165" i="100" s="1"/>
  <c r="V150" i="100"/>
  <c r="V152" i="100" s="1"/>
  <c r="L16" i="63" s="1"/>
  <c r="X281" i="100"/>
  <c r="Z299" i="100"/>
  <c r="S300" i="100"/>
  <c r="V299" i="100"/>
  <c r="X299" i="100" s="1"/>
  <c r="T299" i="100"/>
  <c r="S363" i="100"/>
  <c r="S328" i="100"/>
  <c r="Z327" i="100"/>
  <c r="V327" i="100"/>
  <c r="X327" i="100" s="1"/>
  <c r="T327" i="100"/>
  <c r="T217" i="100"/>
  <c r="J19" i="63" s="1"/>
  <c r="X191" i="100"/>
  <c r="X215" i="100" s="1"/>
  <c r="V217" i="100"/>
  <c r="L19" i="63" s="1"/>
  <c r="Y140" i="100"/>
  <c r="Y288" i="100"/>
  <c r="AF288" i="100" s="1"/>
  <c r="D20" i="71"/>
  <c r="D26" i="71" s="1"/>
  <c r="E20" i="71"/>
  <c r="I20" i="71" s="1"/>
  <c r="L20" i="71" s="1"/>
  <c r="J23" i="49"/>
  <c r="E43" i="49" s="1"/>
  <c r="Y299" i="100" l="1"/>
  <c r="AF299" i="100" s="1"/>
  <c r="S373" i="100"/>
  <c r="C403" i="100" s="1"/>
  <c r="C405" i="100" s="1"/>
  <c r="S364" i="100"/>
  <c r="Y327" i="100"/>
  <c r="AF327" i="100" s="1"/>
  <c r="T373" i="100"/>
  <c r="Z373" i="100"/>
  <c r="V373" i="100"/>
  <c r="X373" i="100" s="1"/>
  <c r="Y150" i="100"/>
  <c r="Y152" i="100" s="1"/>
  <c r="N16" i="63" s="1"/>
  <c r="AF140" i="100"/>
  <c r="AF150" i="100" s="1"/>
  <c r="AF152" i="100" s="1"/>
  <c r="Z300" i="100"/>
  <c r="S301" i="100"/>
  <c r="T300" i="100"/>
  <c r="V300" i="100"/>
  <c r="X300" i="100" s="1"/>
  <c r="Y281" i="100"/>
  <c r="X217" i="100"/>
  <c r="Z328" i="100"/>
  <c r="V328" i="100"/>
  <c r="X328" i="100" s="1"/>
  <c r="T328" i="100"/>
  <c r="Y191" i="100"/>
  <c r="Z363" i="100"/>
  <c r="V363" i="100"/>
  <c r="X363" i="100" s="1"/>
  <c r="T363" i="100"/>
  <c r="A1" i="29"/>
  <c r="J76" i="17" l="1"/>
  <c r="N76" i="17" s="1"/>
  <c r="C407" i="100"/>
  <c r="J78" i="17" s="1"/>
  <c r="N78" i="17" s="1"/>
  <c r="Z364" i="100"/>
  <c r="V364" i="100"/>
  <c r="X364" i="100" s="1"/>
  <c r="T364" i="100"/>
  <c r="Y215" i="100"/>
  <c r="Y217" i="100" s="1"/>
  <c r="N19" i="63" s="1"/>
  <c r="Y373" i="100"/>
  <c r="AF373" i="100" s="1"/>
  <c r="Y328" i="100"/>
  <c r="AF328" i="100" s="1"/>
  <c r="Y363" i="100"/>
  <c r="AF363" i="100" s="1"/>
  <c r="AF191" i="100"/>
  <c r="AF281" i="100"/>
  <c r="Y300" i="100"/>
  <c r="AF300" i="100" s="1"/>
  <c r="S307" i="100"/>
  <c r="Z301" i="100"/>
  <c r="V301" i="100"/>
  <c r="T301" i="100"/>
  <c r="A1" i="21"/>
  <c r="A1" i="17"/>
  <c r="A1" i="19"/>
  <c r="A1" i="43"/>
  <c r="C77" i="71"/>
  <c r="E57" i="97" s="1"/>
  <c r="A1" i="49"/>
  <c r="H61" i="11"/>
  <c r="I61" i="11"/>
  <c r="J61" i="11"/>
  <c r="F54" i="11"/>
  <c r="K17" i="11"/>
  <c r="Y17" i="11" s="1"/>
  <c r="I18" i="28" s="1"/>
  <c r="W18" i="28" s="1"/>
  <c r="G67" i="11"/>
  <c r="Z65" i="11"/>
  <c r="Z66" i="11"/>
  <c r="K65" i="11"/>
  <c r="Y65" i="11" s="1"/>
  <c r="I67" i="28" s="1"/>
  <c r="F26" i="11"/>
  <c r="K44" i="11"/>
  <c r="Y44" i="11" s="1"/>
  <c r="I46" i="28" s="1"/>
  <c r="W46" i="28" s="1"/>
  <c r="Z44" i="11"/>
  <c r="Z46" i="11"/>
  <c r="K48" i="11"/>
  <c r="Y48" i="11" s="1"/>
  <c r="I50" i="28" s="1"/>
  <c r="Z48" i="11"/>
  <c r="Z49" i="11"/>
  <c r="Z50" i="11"/>
  <c r="K42" i="11"/>
  <c r="Y42" i="11" s="1"/>
  <c r="I44" i="28" s="1"/>
  <c r="W44" i="28" s="1"/>
  <c r="Z42" i="11"/>
  <c r="K41" i="11"/>
  <c r="Y41" i="11" s="1"/>
  <c r="I43" i="28" s="1"/>
  <c r="W43" i="28" s="1"/>
  <c r="Z41" i="11"/>
  <c r="Z40" i="11"/>
  <c r="G61" i="11"/>
  <c r="F61" i="11"/>
  <c r="Z30" i="11"/>
  <c r="Z28" i="11"/>
  <c r="G12" i="11"/>
  <c r="W21" i="11"/>
  <c r="V21" i="11"/>
  <c r="T21" i="11"/>
  <c r="S21" i="11"/>
  <c r="Q21" i="11"/>
  <c r="P21" i="11"/>
  <c r="N21" i="11"/>
  <c r="M21" i="11"/>
  <c r="Z19" i="11"/>
  <c r="K19" i="11"/>
  <c r="Y19" i="11" s="1"/>
  <c r="I20" i="28" s="1"/>
  <c r="N20" i="28" s="1"/>
  <c r="Z18" i="11"/>
  <c r="K18" i="11"/>
  <c r="Y18" i="11" s="1"/>
  <c r="I19" i="28" s="1"/>
  <c r="Z25" i="11"/>
  <c r="K25" i="11"/>
  <c r="Y25" i="11" s="1"/>
  <c r="I26" i="28" s="1"/>
  <c r="W26" i="28" s="1"/>
  <c r="Z24" i="11"/>
  <c r="K24" i="11"/>
  <c r="Y24" i="11" s="1"/>
  <c r="I25" i="28" s="1"/>
  <c r="W25" i="28" s="1"/>
  <c r="Z20" i="11"/>
  <c r="K20" i="11"/>
  <c r="Y20" i="11" s="1"/>
  <c r="I21" i="28" s="1"/>
  <c r="Z17" i="11"/>
  <c r="Z16" i="11"/>
  <c r="K16" i="11"/>
  <c r="Y16" i="11" s="1"/>
  <c r="I17" i="28" s="1"/>
  <c r="W17" i="28" s="1"/>
  <c r="Z15" i="11"/>
  <c r="Z14" i="11"/>
  <c r="Y14" i="11"/>
  <c r="I15" i="28" s="1"/>
  <c r="W15" i="28" s="1"/>
  <c r="Y364" i="100" l="1"/>
  <c r="AF364" i="100" s="1"/>
  <c r="AF215" i="100"/>
  <c r="AF217" i="100" s="1"/>
  <c r="X301" i="100"/>
  <c r="Y301" i="100" s="1"/>
  <c r="S308" i="100"/>
  <c r="Z307" i="100"/>
  <c r="T307" i="100"/>
  <c r="V307" i="100"/>
  <c r="X307" i="100" s="1"/>
  <c r="AB66" i="11"/>
  <c r="J68" i="28"/>
  <c r="S68" i="28" s="1"/>
  <c r="AB30" i="11"/>
  <c r="J31" i="28"/>
  <c r="AB42" i="11"/>
  <c r="J44" i="28"/>
  <c r="AB46" i="11"/>
  <c r="J48" i="28"/>
  <c r="AB65" i="11"/>
  <c r="J67" i="28"/>
  <c r="J69" i="28" s="1"/>
  <c r="J21" i="28"/>
  <c r="AB20" i="11"/>
  <c r="J29" i="28"/>
  <c r="AB28" i="11"/>
  <c r="J20" i="28"/>
  <c r="AB19" i="11"/>
  <c r="AB44" i="11"/>
  <c r="J46" i="28"/>
  <c r="J15" i="28"/>
  <c r="AB14" i="11"/>
  <c r="J19" i="28"/>
  <c r="AB18" i="11"/>
  <c r="J16" i="28"/>
  <c r="J22" i="28" s="1"/>
  <c r="AB15" i="11"/>
  <c r="J25" i="28"/>
  <c r="AB24" i="11"/>
  <c r="J17" i="28"/>
  <c r="AB16" i="11"/>
  <c r="AB50" i="11"/>
  <c r="J52" i="28"/>
  <c r="J18" i="28"/>
  <c r="AB17" i="11"/>
  <c r="J26" i="28"/>
  <c r="AB25" i="11"/>
  <c r="AB40" i="11"/>
  <c r="J42" i="28"/>
  <c r="AB49" i="11"/>
  <c r="J51" i="28"/>
  <c r="AB41" i="11"/>
  <c r="J43" i="28"/>
  <c r="AB48" i="11"/>
  <c r="J50" i="28"/>
  <c r="I27" i="28"/>
  <c r="G54" i="11"/>
  <c r="G78" i="11" s="1"/>
  <c r="K64" i="11"/>
  <c r="F67" i="11"/>
  <c r="N26" i="28"/>
  <c r="O26" i="28"/>
  <c r="W20" i="28"/>
  <c r="O20" i="28"/>
  <c r="O43" i="28"/>
  <c r="N43" i="28"/>
  <c r="N48" i="28"/>
  <c r="J27" i="28"/>
  <c r="N18" i="28"/>
  <c r="O18" i="28"/>
  <c r="W21" i="28"/>
  <c r="O21" i="28"/>
  <c r="N21" i="28"/>
  <c r="N17" i="28"/>
  <c r="O17" i="28"/>
  <c r="O15" i="28"/>
  <c r="N15" i="28"/>
  <c r="N25" i="28"/>
  <c r="O25" i="28"/>
  <c r="W19" i="28"/>
  <c r="O19" i="28"/>
  <c r="N19" i="28"/>
  <c r="Z26" i="11"/>
  <c r="AC26" i="11" s="1"/>
  <c r="K15" i="11"/>
  <c r="E21" i="11"/>
  <c r="Z21" i="11"/>
  <c r="K49" i="11"/>
  <c r="Y49" i="11" s="1"/>
  <c r="I51" i="28" s="1"/>
  <c r="W51" i="28" s="1"/>
  <c r="K50" i="11"/>
  <c r="Y50" i="11" s="1"/>
  <c r="I52" i="28" s="1"/>
  <c r="W52" i="28" s="1"/>
  <c r="K28" i="11"/>
  <c r="K40" i="11"/>
  <c r="K66" i="11"/>
  <c r="Y66" i="11" s="1"/>
  <c r="I68" i="28" s="1"/>
  <c r="K46" i="11"/>
  <c r="Y46" i="11" s="1"/>
  <c r="I48" i="28" s="1"/>
  <c r="W48" i="28" s="1"/>
  <c r="T33" i="77"/>
  <c r="V33" i="77"/>
  <c r="Y307" i="100" l="1"/>
  <c r="AF307" i="100" s="1"/>
  <c r="Z308" i="100"/>
  <c r="Z375" i="100" s="1"/>
  <c r="Z377" i="100" s="1"/>
  <c r="P21" i="63" s="1"/>
  <c r="V308" i="100"/>
  <c r="X308" i="100" s="1"/>
  <c r="X375" i="100" s="1"/>
  <c r="X377" i="100" s="1"/>
  <c r="T308" i="100"/>
  <c r="V375" i="100"/>
  <c r="V377" i="100" s="1"/>
  <c r="L21" i="63" s="1"/>
  <c r="AF301" i="100"/>
  <c r="O48" i="28"/>
  <c r="B35" i="20"/>
  <c r="W27" i="28"/>
  <c r="Y40" i="11"/>
  <c r="I42" i="28" s="1"/>
  <c r="P19" i="28"/>
  <c r="P43" i="28"/>
  <c r="R43" i="28" s="1"/>
  <c r="P17" i="28"/>
  <c r="U17" i="28" s="1"/>
  <c r="N67" i="28"/>
  <c r="O67" i="28"/>
  <c r="N51" i="28"/>
  <c r="O51" i="28"/>
  <c r="P15" i="28"/>
  <c r="O50" i="28"/>
  <c r="N50" i="28"/>
  <c r="P25" i="28"/>
  <c r="P26" i="28"/>
  <c r="N46" i="28"/>
  <c r="O46" i="28"/>
  <c r="P21" i="28"/>
  <c r="P18" i="28"/>
  <c r="P48" i="28"/>
  <c r="P20" i="28"/>
  <c r="K26" i="11"/>
  <c r="Y15" i="11"/>
  <c r="K21" i="11"/>
  <c r="Y28" i="11"/>
  <c r="I29" i="28" s="1"/>
  <c r="V43" i="28" l="1"/>
  <c r="M43" i="29"/>
  <c r="N43" i="29" s="1"/>
  <c r="Y308" i="100"/>
  <c r="T375" i="100"/>
  <c r="T377" i="100" s="1"/>
  <c r="W29" i="28"/>
  <c r="O42" i="28"/>
  <c r="N42" i="28"/>
  <c r="P42" i="28" s="1"/>
  <c r="R42" i="28" s="1"/>
  <c r="V42" i="28" s="1"/>
  <c r="P27" i="28"/>
  <c r="N29" i="28"/>
  <c r="T19" i="28"/>
  <c r="R19" i="28"/>
  <c r="M20" i="29" s="1"/>
  <c r="N20" i="29" s="1"/>
  <c r="U43" i="28"/>
  <c r="U19" i="28"/>
  <c r="T43" i="28"/>
  <c r="R17" i="28"/>
  <c r="M18" i="29" s="1"/>
  <c r="N18" i="29" s="1"/>
  <c r="P50" i="28"/>
  <c r="R50" i="28" s="1"/>
  <c r="V50" i="28" s="1"/>
  <c r="T17" i="28"/>
  <c r="R18" i="28"/>
  <c r="U18" i="28"/>
  <c r="T18" i="28"/>
  <c r="T42" i="28"/>
  <c r="U25" i="28"/>
  <c r="R25" i="28"/>
  <c r="T25" i="28"/>
  <c r="R15" i="28"/>
  <c r="T15" i="28"/>
  <c r="U15" i="28"/>
  <c r="R21" i="28"/>
  <c r="U21" i="28"/>
  <c r="T21" i="28"/>
  <c r="R20" i="28"/>
  <c r="V20" i="28" s="1"/>
  <c r="U20" i="28"/>
  <c r="T20" i="28"/>
  <c r="P46" i="28"/>
  <c r="R26" i="28"/>
  <c r="U26" i="28"/>
  <c r="T26" i="28"/>
  <c r="P67" i="28"/>
  <c r="Y26" i="11"/>
  <c r="O29" i="28"/>
  <c r="Y21" i="11"/>
  <c r="I16" i="28"/>
  <c r="T48" i="28"/>
  <c r="R48" i="28"/>
  <c r="U48" i="28"/>
  <c r="S43" i="28"/>
  <c r="P51" i="28"/>
  <c r="V21" i="28" l="1"/>
  <c r="M22" i="29"/>
  <c r="N22" i="29" s="1"/>
  <c r="V26" i="28"/>
  <c r="M26" i="29"/>
  <c r="N26" i="29" s="1"/>
  <c r="V48" i="28"/>
  <c r="M48" i="29"/>
  <c r="N48" i="29" s="1"/>
  <c r="V25" i="28"/>
  <c r="M25" i="29"/>
  <c r="V18" i="28"/>
  <c r="M19" i="29"/>
  <c r="N19" i="29" s="1"/>
  <c r="V15" i="28"/>
  <c r="M16" i="29"/>
  <c r="J21" i="63"/>
  <c r="T390" i="100"/>
  <c r="T391" i="100" s="1"/>
  <c r="F57" i="97" s="1"/>
  <c r="AF308" i="100"/>
  <c r="AF375" i="100" s="1"/>
  <c r="AF377" i="100" s="1"/>
  <c r="Y375" i="100"/>
  <c r="Y377" i="100" s="1"/>
  <c r="N21" i="63" s="1"/>
  <c r="U42" i="28"/>
  <c r="I22" i="28"/>
  <c r="W16" i="28"/>
  <c r="S17" i="28"/>
  <c r="V17" i="28"/>
  <c r="X17" i="28" s="1"/>
  <c r="S19" i="28"/>
  <c r="V19" i="28"/>
  <c r="X19" i="28" s="1"/>
  <c r="R27" i="28"/>
  <c r="X43" i="28"/>
  <c r="U50" i="28"/>
  <c r="T50" i="28"/>
  <c r="X21" i="28"/>
  <c r="X48" i="28"/>
  <c r="X18" i="28"/>
  <c r="X20" i="28"/>
  <c r="X26" i="28"/>
  <c r="R46" i="28"/>
  <c r="U46" i="28"/>
  <c r="T46" i="28"/>
  <c r="S20" i="28"/>
  <c r="S21" i="28"/>
  <c r="T27" i="28"/>
  <c r="X25" i="28"/>
  <c r="S15" i="28"/>
  <c r="S25" i="28"/>
  <c r="X42" i="28"/>
  <c r="W22" i="28"/>
  <c r="O16" i="28"/>
  <c r="N16" i="28"/>
  <c r="R51" i="28"/>
  <c r="T51" i="28"/>
  <c r="U51" i="28"/>
  <c r="X15" i="28"/>
  <c r="V27" i="28"/>
  <c r="U27" i="28"/>
  <c r="U67" i="28"/>
  <c r="R67" i="28"/>
  <c r="V67" i="28" s="1"/>
  <c r="T67" i="28"/>
  <c r="S48" i="28"/>
  <c r="P29" i="28"/>
  <c r="S26" i="28"/>
  <c r="S50" i="28"/>
  <c r="S42" i="28"/>
  <c r="S18" i="28"/>
  <c r="V51" i="28" l="1"/>
  <c r="M51" i="29"/>
  <c r="N51" i="29" s="1"/>
  <c r="N25" i="29"/>
  <c r="M27" i="29"/>
  <c r="V46" i="28"/>
  <c r="M46" i="29"/>
  <c r="N46" i="29" s="1"/>
  <c r="N16" i="29"/>
  <c r="X50" i="28"/>
  <c r="X27" i="28"/>
  <c r="Y27" i="28" s="1"/>
  <c r="P16" i="28"/>
  <c r="N27" i="29"/>
  <c r="X67" i="28"/>
  <c r="X51" i="28"/>
  <c r="S46" i="28"/>
  <c r="R29" i="28"/>
  <c r="T29" i="28"/>
  <c r="U29" i="28"/>
  <c r="S51" i="28"/>
  <c r="S27" i="28"/>
  <c r="X103" i="28" s="1"/>
  <c r="Y103" i="28" s="1"/>
  <c r="F37" i="17" s="1"/>
  <c r="N37" i="17" s="1"/>
  <c r="S67" i="28"/>
  <c r="X46" i="28"/>
  <c r="A1" i="26"/>
  <c r="V29" i="28" l="1"/>
  <c r="M29" i="29"/>
  <c r="T16" i="28"/>
  <c r="T22" i="28" s="1"/>
  <c r="P22" i="28"/>
  <c r="R16" i="28"/>
  <c r="M17" i="29" s="1"/>
  <c r="U16" i="28"/>
  <c r="U22" i="28" s="1"/>
  <c r="X29" i="28"/>
  <c r="S29" i="28"/>
  <c r="J82" i="20"/>
  <c r="N17" i="29" l="1"/>
  <c r="M23" i="29"/>
  <c r="N23" i="29" s="1"/>
  <c r="N29" i="29"/>
  <c r="S16" i="28"/>
  <c r="V16" i="28"/>
  <c r="V22" i="28" s="1"/>
  <c r="R22" i="28"/>
  <c r="S23" i="29"/>
  <c r="L43" i="20"/>
  <c r="L44" i="20"/>
  <c r="L45" i="20"/>
  <c r="L46" i="20"/>
  <c r="L47" i="20"/>
  <c r="F46" i="71" s="1"/>
  <c r="L49" i="20"/>
  <c r="L50" i="20"/>
  <c r="L51" i="20"/>
  <c r="L52" i="20"/>
  <c r="L53" i="20"/>
  <c r="L54" i="20"/>
  <c r="L55" i="20"/>
  <c r="L56" i="20"/>
  <c r="L57" i="20"/>
  <c r="L58" i="20"/>
  <c r="L61" i="20"/>
  <c r="L62" i="20"/>
  <c r="L63" i="20"/>
  <c r="L65" i="20"/>
  <c r="L66" i="20"/>
  <c r="L67" i="20"/>
  <c r="L68" i="20"/>
  <c r="L70" i="20"/>
  <c r="L71" i="20"/>
  <c r="L72" i="20"/>
  <c r="L73" i="20"/>
  <c r="L74" i="20"/>
  <c r="L75" i="20"/>
  <c r="L76" i="20"/>
  <c r="L77" i="20"/>
  <c r="L78" i="20"/>
  <c r="L79" i="20"/>
  <c r="L14" i="20"/>
  <c r="L15" i="20"/>
  <c r="L16" i="20"/>
  <c r="L17" i="20"/>
  <c r="L13" i="20"/>
  <c r="F19" i="20"/>
  <c r="F22" i="20" s="1"/>
  <c r="H19" i="20"/>
  <c r="H22" i="20" s="1"/>
  <c r="F20" i="20"/>
  <c r="H20" i="20"/>
  <c r="N20" i="17"/>
  <c r="N21" i="17"/>
  <c r="N22" i="17"/>
  <c r="T19" i="16"/>
  <c r="T20" i="16"/>
  <c r="T21" i="16"/>
  <c r="T22" i="16"/>
  <c r="T26" i="16"/>
  <c r="X16" i="28" l="1"/>
  <c r="X22" i="28"/>
  <c r="S22" i="28"/>
  <c r="X100" i="28" s="1"/>
  <c r="Y100" i="28" s="1"/>
  <c r="L22" i="20"/>
  <c r="L20" i="20"/>
  <c r="L19" i="20"/>
  <c r="Y22" i="28" l="1"/>
  <c r="S27" i="29"/>
  <c r="T27" i="29" s="1"/>
  <c r="H18" i="20" l="1"/>
  <c r="T23" i="29" l="1"/>
  <c r="H21" i="20"/>
  <c r="H28" i="20" s="1"/>
  <c r="L60" i="20" l="1"/>
  <c r="L64" i="20"/>
  <c r="F80" i="20" l="1"/>
  <c r="B79" i="17" l="1"/>
  <c r="N79" i="17" s="1"/>
  <c r="C13" i="29" l="1"/>
  <c r="C86" i="29" s="1"/>
  <c r="C88" i="29" l="1"/>
  <c r="C92" i="29" s="1"/>
  <c r="O78" i="11"/>
  <c r="R78" i="11"/>
  <c r="U78" i="11"/>
  <c r="X78" i="11"/>
  <c r="C28" i="18" l="1"/>
  <c r="A12" i="29"/>
  <c r="E12" i="11" l="1"/>
  <c r="E78" i="11" s="1"/>
  <c r="M12" i="11" l="1"/>
  <c r="M54" i="11" s="1"/>
  <c r="N12" i="11"/>
  <c r="P12" i="11"/>
  <c r="Q12" i="11"/>
  <c r="S12" i="11"/>
  <c r="S54" i="11" s="1"/>
  <c r="S61" i="11" s="1"/>
  <c r="S78" i="11" s="1"/>
  <c r="T12" i="11"/>
  <c r="T54" i="11" s="1"/>
  <c r="T61" i="11" s="1"/>
  <c r="T78" i="11" s="1"/>
  <c r="V12" i="11"/>
  <c r="W12" i="11"/>
  <c r="M61" i="11" l="1"/>
  <c r="M78" i="11" s="1"/>
  <c r="Q54" i="11"/>
  <c r="Q61" i="11" s="1"/>
  <c r="Q78" i="11" s="1"/>
  <c r="V54" i="11"/>
  <c r="V61" i="11" s="1"/>
  <c r="V78" i="11" s="1"/>
  <c r="P54" i="11"/>
  <c r="P61" i="11" s="1"/>
  <c r="P78" i="11" s="1"/>
  <c r="N54" i="11"/>
  <c r="N61" i="11" s="1"/>
  <c r="N78" i="11" s="1"/>
  <c r="W54" i="11"/>
  <c r="W61" i="11" s="1"/>
  <c r="W78" i="11" s="1"/>
  <c r="W80" i="11" l="1"/>
  <c r="Z29" i="11" l="1"/>
  <c r="Z56" i="11"/>
  <c r="Z31" i="11"/>
  <c r="Z59" i="11"/>
  <c r="Z32" i="11"/>
  <c r="Z33" i="11"/>
  <c r="Z34" i="11"/>
  <c r="Z35" i="11"/>
  <c r="S60" i="28"/>
  <c r="Z37" i="11"/>
  <c r="Z38" i="11"/>
  <c r="Z39" i="11"/>
  <c r="Z43" i="11"/>
  <c r="Z51" i="11"/>
  <c r="K29" i="11"/>
  <c r="K30" i="11"/>
  <c r="Y30" i="11" s="1"/>
  <c r="I31" i="28" s="1"/>
  <c r="W31" i="28" s="1"/>
  <c r="K56" i="11"/>
  <c r="Y56" i="11" s="1"/>
  <c r="I58" i="28" s="1"/>
  <c r="K31" i="11"/>
  <c r="Y31" i="11" s="1"/>
  <c r="I32" i="28" s="1"/>
  <c r="W32" i="28" s="1"/>
  <c r="K59" i="11"/>
  <c r="Y59" i="11" s="1"/>
  <c r="I61" i="28" s="1"/>
  <c r="K32" i="11"/>
  <c r="Y32" i="11" s="1"/>
  <c r="I33" i="28" s="1"/>
  <c r="W33" i="28" s="1"/>
  <c r="K11" i="11"/>
  <c r="Y11" i="11" s="1"/>
  <c r="I11" i="28" s="1"/>
  <c r="I12" i="28" s="1"/>
  <c r="K33" i="11"/>
  <c r="Y33" i="11" s="1"/>
  <c r="I34" i="28" s="1"/>
  <c r="W34" i="28" s="1"/>
  <c r="K34" i="11"/>
  <c r="Y34" i="11" s="1"/>
  <c r="I35" i="28" s="1"/>
  <c r="W35" i="28" s="1"/>
  <c r="K35" i="11"/>
  <c r="Y35" i="11" s="1"/>
  <c r="I36" i="28" s="1"/>
  <c r="K37" i="11"/>
  <c r="Y37" i="11" s="1"/>
  <c r="I39" i="28" s="1"/>
  <c r="W39" i="28" s="1"/>
  <c r="K38" i="11"/>
  <c r="Y38" i="11" s="1"/>
  <c r="I40" i="28" s="1"/>
  <c r="K39" i="11"/>
  <c r="Y39" i="11" s="1"/>
  <c r="I41" i="28" s="1"/>
  <c r="K43" i="11"/>
  <c r="Y43" i="11" s="1"/>
  <c r="I45" i="28" s="1"/>
  <c r="K51" i="11"/>
  <c r="Y51" i="11" s="1"/>
  <c r="I53" i="28" s="1"/>
  <c r="AB59" i="11" l="1"/>
  <c r="J61" i="28"/>
  <c r="S61" i="28" s="1"/>
  <c r="AB32" i="11"/>
  <c r="J33" i="28"/>
  <c r="AB51" i="11"/>
  <c r="J53" i="28"/>
  <c r="AB35" i="11"/>
  <c r="J36" i="28"/>
  <c r="W45" i="28"/>
  <c r="N45" i="28"/>
  <c r="O45" i="28"/>
  <c r="W41" i="28"/>
  <c r="N41" i="28"/>
  <c r="O41" i="28"/>
  <c r="AB43" i="11"/>
  <c r="J45" i="28"/>
  <c r="AB34" i="11"/>
  <c r="J35" i="28"/>
  <c r="AB31" i="11"/>
  <c r="J32" i="28"/>
  <c r="AB37" i="11"/>
  <c r="J39" i="28"/>
  <c r="N36" i="28"/>
  <c r="W36" i="28"/>
  <c r="AB39" i="11"/>
  <c r="J41" i="28"/>
  <c r="AB56" i="11"/>
  <c r="J58" i="28"/>
  <c r="J63" i="28" s="1"/>
  <c r="W53" i="28"/>
  <c r="O53" i="28"/>
  <c r="N53" i="28"/>
  <c r="W58" i="28"/>
  <c r="I63" i="28"/>
  <c r="O58" i="28"/>
  <c r="N58" i="28"/>
  <c r="P58" i="28" s="1"/>
  <c r="AB38" i="11"/>
  <c r="J40" i="28"/>
  <c r="AB33" i="11"/>
  <c r="J34" i="28"/>
  <c r="AB29" i="11"/>
  <c r="J30" i="28"/>
  <c r="K54" i="11"/>
  <c r="Z54" i="11"/>
  <c r="AC54" i="11" s="1"/>
  <c r="N65" i="28"/>
  <c r="K67" i="11"/>
  <c r="Z67" i="11"/>
  <c r="N39" i="28"/>
  <c r="O39" i="28"/>
  <c r="O33" i="28"/>
  <c r="N33" i="28"/>
  <c r="O32" i="28"/>
  <c r="N32" i="28"/>
  <c r="N31" i="28"/>
  <c r="O31" i="28"/>
  <c r="O52" i="28"/>
  <c r="N52" i="28"/>
  <c r="O38" i="28"/>
  <c r="N38" i="28"/>
  <c r="N59" i="28"/>
  <c r="O59" i="28"/>
  <c r="O35" i="28"/>
  <c r="N35" i="28"/>
  <c r="O34" i="28"/>
  <c r="N34" i="28"/>
  <c r="N44" i="28"/>
  <c r="O44" i="28"/>
  <c r="O40" i="28"/>
  <c r="N40" i="28"/>
  <c r="O36" i="28"/>
  <c r="N11" i="28"/>
  <c r="P11" i="28" s="1"/>
  <c r="O65" i="28"/>
  <c r="K61" i="11"/>
  <c r="Z61" i="11"/>
  <c r="Y12" i="11"/>
  <c r="Z12" i="11"/>
  <c r="AC12" i="11" s="1"/>
  <c r="L38" i="20"/>
  <c r="Y64" i="11"/>
  <c r="I66" i="28" s="1"/>
  <c r="C55" i="71"/>
  <c r="C54" i="71"/>
  <c r="Y29" i="11"/>
  <c r="I30" i="28" s="1"/>
  <c r="J56" i="28" l="1"/>
  <c r="J87" i="28" s="1"/>
  <c r="J89" i="28" s="1"/>
  <c r="J90" i="28" s="1"/>
  <c r="P53" i="28"/>
  <c r="R53" i="28" s="1"/>
  <c r="M53" i="29" s="1"/>
  <c r="N53" i="29" s="1"/>
  <c r="P41" i="28"/>
  <c r="U41" i="28" s="1"/>
  <c r="Z78" i="11"/>
  <c r="AC67" i="11"/>
  <c r="AB78" i="11"/>
  <c r="P45" i="28"/>
  <c r="I69" i="28"/>
  <c r="N66" i="28"/>
  <c r="O66" i="28"/>
  <c r="W66" i="28"/>
  <c r="U58" i="28"/>
  <c r="R58" i="28"/>
  <c r="M58" i="29" s="1"/>
  <c r="T58" i="28"/>
  <c r="W30" i="28"/>
  <c r="W56" i="28" s="1"/>
  <c r="I56" i="28"/>
  <c r="I87" i="28" s="1"/>
  <c r="V53" i="28"/>
  <c r="R41" i="28"/>
  <c r="M41" i="29" s="1"/>
  <c r="N41" i="29" s="1"/>
  <c r="T41" i="28"/>
  <c r="AC61" i="11"/>
  <c r="AC78" i="11" s="1"/>
  <c r="R11" i="28"/>
  <c r="S11" i="28" s="1"/>
  <c r="T11" i="28"/>
  <c r="P39" i="28"/>
  <c r="Y54" i="11"/>
  <c r="P33" i="28"/>
  <c r="U33" i="28" s="1"/>
  <c r="Y67" i="11"/>
  <c r="P34" i="28"/>
  <c r="P38" i="28"/>
  <c r="T38" i="28" s="1"/>
  <c r="W63" i="28"/>
  <c r="P40" i="28"/>
  <c r="U40" i="28" s="1"/>
  <c r="P52" i="28"/>
  <c r="P44" i="28"/>
  <c r="U44" i="28" s="1"/>
  <c r="U11" i="28"/>
  <c r="U12" i="28" s="1"/>
  <c r="P12" i="28"/>
  <c r="P35" i="28"/>
  <c r="P31" i="28"/>
  <c r="P65" i="28"/>
  <c r="R65" i="28" s="1"/>
  <c r="S65" i="28" s="1"/>
  <c r="P36" i="28"/>
  <c r="T53" i="28"/>
  <c r="U53" i="28"/>
  <c r="N30" i="28"/>
  <c r="P59" i="28"/>
  <c r="R59" i="28" s="1"/>
  <c r="P32" i="28"/>
  <c r="E34" i="97"/>
  <c r="F34" i="97" s="1"/>
  <c r="E35" i="97"/>
  <c r="Y61" i="11"/>
  <c r="N36" i="16"/>
  <c r="L39" i="20"/>
  <c r="L41" i="20"/>
  <c r="C52" i="71"/>
  <c r="F8" i="94"/>
  <c r="F9" i="94" s="1"/>
  <c r="F10" i="94" s="1"/>
  <c r="F11" i="94" s="1"/>
  <c r="F12" i="94" s="1"/>
  <c r="F13" i="94" s="1"/>
  <c r="F14" i="94" s="1"/>
  <c r="F15" i="94" s="1"/>
  <c r="F16" i="94" s="1"/>
  <c r="F17" i="94" s="1"/>
  <c r="F18" i="94" s="1"/>
  <c r="F19" i="94" s="1"/>
  <c r="F20" i="94" s="1"/>
  <c r="F21" i="94" s="1"/>
  <c r="F22" i="94" s="1"/>
  <c r="F23" i="94" s="1"/>
  <c r="F24" i="94" s="1"/>
  <c r="F25" i="94" s="1"/>
  <c r="F26" i="94" s="1"/>
  <c r="F27" i="94" s="1"/>
  <c r="F28" i="94" s="1"/>
  <c r="F29" i="94" s="1"/>
  <c r="F30" i="94" s="1"/>
  <c r="F31" i="94" s="1"/>
  <c r="F32" i="94" s="1"/>
  <c r="F33" i="94" s="1"/>
  <c r="F34" i="94" s="1"/>
  <c r="F35" i="94" s="1"/>
  <c r="F36" i="94" s="1"/>
  <c r="F37" i="94" s="1"/>
  <c r="F38" i="94" s="1"/>
  <c r="F39" i="94" s="1"/>
  <c r="F40" i="94" s="1"/>
  <c r="F41" i="94" s="1"/>
  <c r="F42" i="94" s="1"/>
  <c r="F43" i="94" s="1"/>
  <c r="F44" i="94" s="1"/>
  <c r="F45" i="94" s="1"/>
  <c r="F46" i="94" s="1"/>
  <c r="F47" i="94" s="1"/>
  <c r="F48" i="94" s="1"/>
  <c r="F49" i="94" s="1"/>
  <c r="J38" i="94"/>
  <c r="K38" i="94" s="1"/>
  <c r="Z68" i="94" s="1"/>
  <c r="J43" i="94"/>
  <c r="J44" i="94"/>
  <c r="J45" i="94"/>
  <c r="U56" i="94"/>
  <c r="V19" i="94" s="1"/>
  <c r="U57" i="94"/>
  <c r="S59" i="94"/>
  <c r="S53" i="28" l="1"/>
  <c r="V59" i="28"/>
  <c r="M59" i="29"/>
  <c r="N59" i="29" s="1"/>
  <c r="N58" i="29"/>
  <c r="M63" i="29"/>
  <c r="P66" i="28"/>
  <c r="B34" i="20"/>
  <c r="V58" i="28"/>
  <c r="X58" i="28" s="1"/>
  <c r="S58" i="28"/>
  <c r="T45" i="28"/>
  <c r="R45" i="28"/>
  <c r="M45" i="29" s="1"/>
  <c r="N45" i="29" s="1"/>
  <c r="U45" i="28"/>
  <c r="R66" i="28"/>
  <c r="M66" i="29" s="1"/>
  <c r="U66" i="28"/>
  <c r="T66" i="28"/>
  <c r="S41" i="28"/>
  <c r="V41" i="28"/>
  <c r="X41" i="28" s="1"/>
  <c r="T33" i="28"/>
  <c r="T44" i="28"/>
  <c r="Y78" i="11"/>
  <c r="O30" i="28"/>
  <c r="P30" i="28" s="1"/>
  <c r="W69" i="28"/>
  <c r="R33" i="28"/>
  <c r="M33" i="29" s="1"/>
  <c r="N33" i="29" s="1"/>
  <c r="R44" i="28"/>
  <c r="M44" i="29" s="1"/>
  <c r="N44" i="29" s="1"/>
  <c r="U34" i="28"/>
  <c r="R38" i="28"/>
  <c r="M38" i="29" s="1"/>
  <c r="N38" i="29" s="1"/>
  <c r="T34" i="28"/>
  <c r="R34" i="28"/>
  <c r="M34" i="29" s="1"/>
  <c r="N34" i="29" s="1"/>
  <c r="U38" i="28"/>
  <c r="R52" i="28"/>
  <c r="M52" i="29" s="1"/>
  <c r="N52" i="29" s="1"/>
  <c r="T52" i="28"/>
  <c r="U52" i="28"/>
  <c r="I89" i="28"/>
  <c r="R40" i="28"/>
  <c r="T40" i="28"/>
  <c r="U59" i="28"/>
  <c r="R63" i="28"/>
  <c r="T59" i="28"/>
  <c r="T65" i="28"/>
  <c r="U65" i="28"/>
  <c r="T31" i="28"/>
  <c r="R31" i="28"/>
  <c r="U31" i="28"/>
  <c r="T32" i="28"/>
  <c r="R32" i="28"/>
  <c r="U32" i="28"/>
  <c r="U39" i="28"/>
  <c r="R39" i="28"/>
  <c r="T39" i="28"/>
  <c r="X53" i="28"/>
  <c r="X11" i="28"/>
  <c r="X12" i="28" s="1"/>
  <c r="T12" i="28"/>
  <c r="R36" i="28"/>
  <c r="T36" i="28"/>
  <c r="U36" i="28"/>
  <c r="P63" i="28"/>
  <c r="U35" i="28"/>
  <c r="T35" i="28"/>
  <c r="R35" i="28"/>
  <c r="M12" i="29"/>
  <c r="R12" i="28"/>
  <c r="S12" i="28"/>
  <c r="D54" i="71"/>
  <c r="E54" i="71" s="1"/>
  <c r="I54" i="71" s="1"/>
  <c r="E32" i="97"/>
  <c r="Y68" i="94"/>
  <c r="V29" i="94"/>
  <c r="V12" i="94"/>
  <c r="V8" i="94"/>
  <c r="V27" i="94"/>
  <c r="V18" i="94"/>
  <c r="V36" i="94"/>
  <c r="V7" i="94"/>
  <c r="V11" i="94"/>
  <c r="V13" i="94"/>
  <c r="V22" i="94"/>
  <c r="V24" i="94"/>
  <c r="V26" i="94"/>
  <c r="V6" i="94"/>
  <c r="V16" i="94"/>
  <c r="V28" i="94"/>
  <c r="V9" i="94"/>
  <c r="V17" i="94"/>
  <c r="V31" i="94"/>
  <c r="V23" i="94"/>
  <c r="V32" i="94"/>
  <c r="V33" i="94"/>
  <c r="V34" i="94"/>
  <c r="V14" i="94"/>
  <c r="V38" i="94"/>
  <c r="V39" i="94"/>
  <c r="V37" i="94"/>
  <c r="V21" i="94"/>
  <c r="N66" i="29" l="1"/>
  <c r="M69" i="29"/>
  <c r="V39" i="28"/>
  <c r="M39" i="29"/>
  <c r="N39" i="29" s="1"/>
  <c r="V36" i="28"/>
  <c r="M36" i="29"/>
  <c r="N36" i="29" s="1"/>
  <c r="V35" i="28"/>
  <c r="M35" i="29"/>
  <c r="N35" i="29" s="1"/>
  <c r="V32" i="28"/>
  <c r="M32" i="29"/>
  <c r="N32" i="29" s="1"/>
  <c r="V31" i="28"/>
  <c r="X31" i="28" s="1"/>
  <c r="M31" i="29"/>
  <c r="N31" i="29" s="1"/>
  <c r="M13" i="29"/>
  <c r="N12" i="29"/>
  <c r="S52" i="28"/>
  <c r="V52" i="28"/>
  <c r="X52" i="28" s="1"/>
  <c r="V44" i="28"/>
  <c r="X44" i="28" s="1"/>
  <c r="S33" i="28"/>
  <c r="V33" i="28"/>
  <c r="X33" i="28" s="1"/>
  <c r="S66" i="28"/>
  <c r="S69" i="28" s="1"/>
  <c r="X99" i="28" s="1"/>
  <c r="Y99" i="28" s="1"/>
  <c r="V66" i="28"/>
  <c r="X66" i="28" s="1"/>
  <c r="S38" i="28"/>
  <c r="V38" i="28"/>
  <c r="X38" i="28" s="1"/>
  <c r="V40" i="28"/>
  <c r="V34" i="28"/>
  <c r="V45" i="28"/>
  <c r="X45" i="28" s="1"/>
  <c r="S45" i="28"/>
  <c r="W87" i="28"/>
  <c r="W91" i="28" s="1"/>
  <c r="T63" i="28"/>
  <c r="S44" i="28"/>
  <c r="V63" i="28"/>
  <c r="X40" i="28"/>
  <c r="S34" i="28"/>
  <c r="P69" i="28"/>
  <c r="U63" i="28"/>
  <c r="X35" i="28"/>
  <c r="S40" i="28"/>
  <c r="X59" i="28"/>
  <c r="S35" i="28"/>
  <c r="S36" i="28"/>
  <c r="X32" i="28"/>
  <c r="R69" i="28"/>
  <c r="X65" i="28"/>
  <c r="N69" i="29"/>
  <c r="S59" i="28"/>
  <c r="S63" i="28" s="1"/>
  <c r="X102" i="28" s="1"/>
  <c r="Y102" i="28" s="1"/>
  <c r="X36" i="28"/>
  <c r="X39" i="28"/>
  <c r="R30" i="28"/>
  <c r="U30" i="28"/>
  <c r="U56" i="28" s="1"/>
  <c r="T30" i="28"/>
  <c r="P56" i="28"/>
  <c r="P87" i="28" s="1"/>
  <c r="S39" i="28"/>
  <c r="S32" i="28"/>
  <c r="S31" i="28"/>
  <c r="V30" i="28" l="1"/>
  <c r="M30" i="29"/>
  <c r="S69" i="29"/>
  <c r="T69" i="29" s="1"/>
  <c r="V56" i="28"/>
  <c r="X34" i="28"/>
  <c r="V69" i="28"/>
  <c r="U69" i="28"/>
  <c r="U87" i="28" s="1"/>
  <c r="U91" i="28" s="1"/>
  <c r="P91" i="28"/>
  <c r="X69" i="28"/>
  <c r="Y69" i="28" s="1"/>
  <c r="T69" i="28"/>
  <c r="X63" i="28"/>
  <c r="Y63" i="28" s="1"/>
  <c r="N82" i="29"/>
  <c r="S30" i="28"/>
  <c r="S56" i="28" s="1"/>
  <c r="R56" i="28"/>
  <c r="X30" i="28"/>
  <c r="T56" i="28"/>
  <c r="T87" i="28" s="1"/>
  <c r="B13" i="29"/>
  <c r="B86" i="29" s="1"/>
  <c r="V87" i="28" l="1"/>
  <c r="V91" i="28" s="1"/>
  <c r="N30" i="29"/>
  <c r="M56" i="29"/>
  <c r="S82" i="29"/>
  <c r="T82" i="29" s="1"/>
  <c r="N63" i="29"/>
  <c r="S63" i="29" s="1"/>
  <c r="T63" i="29" s="1"/>
  <c r="X56" i="28"/>
  <c r="S87" i="28"/>
  <c r="S91" i="28" s="1"/>
  <c r="X98" i="28"/>
  <c r="R87" i="28"/>
  <c r="R91" i="28" s="1"/>
  <c r="T91" i="28"/>
  <c r="B88" i="29"/>
  <c r="H13" i="29"/>
  <c r="H86" i="29" s="1"/>
  <c r="I13" i="29"/>
  <c r="I86" i="29" s="1"/>
  <c r="I88" i="29" s="1"/>
  <c r="X106" i="28" l="1"/>
  <c r="R96" i="28"/>
  <c r="N56" i="29"/>
  <c r="S56" i="29" s="1"/>
  <c r="T56" i="29" s="1"/>
  <c r="M86" i="29"/>
  <c r="M88" i="29" s="1"/>
  <c r="Y56" i="28"/>
  <c r="Y87" i="28" s="1"/>
  <c r="X87" i="28"/>
  <c r="X91" i="28" s="1"/>
  <c r="X105" i="28"/>
  <c r="X107" i="28" s="1"/>
  <c r="Y98" i="28"/>
  <c r="Y105" i="28" s="1"/>
  <c r="B94" i="29"/>
  <c r="R99" i="29" s="1"/>
  <c r="C29" i="18"/>
  <c r="H88" i="29"/>
  <c r="Q12" i="29"/>
  <c r="R12" i="29" s="1"/>
  <c r="N13" i="29"/>
  <c r="N86" i="29" s="1"/>
  <c r="T33" i="16"/>
  <c r="T35" i="16"/>
  <c r="T37" i="16"/>
  <c r="T40" i="16"/>
  <c r="T41" i="16"/>
  <c r="T42" i="16"/>
  <c r="T43" i="16"/>
  <c r="T44" i="16"/>
  <c r="T47" i="16"/>
  <c r="T48" i="16"/>
  <c r="T49" i="16"/>
  <c r="T50" i="16"/>
  <c r="T51" i="16"/>
  <c r="T52" i="16"/>
  <c r="T53" i="16"/>
  <c r="T55" i="16"/>
  <c r="T56" i="16"/>
  <c r="T57" i="16"/>
  <c r="T58" i="16"/>
  <c r="T59" i="16"/>
  <c r="T60" i="16"/>
  <c r="T62" i="16"/>
  <c r="T64" i="16"/>
  <c r="T66" i="16"/>
  <c r="T31" i="16"/>
  <c r="T18" i="16"/>
  <c r="T14" i="16"/>
  <c r="P28" i="16"/>
  <c r="Q93" i="29" l="1"/>
  <c r="D21" i="18"/>
  <c r="N88" i="29"/>
  <c r="S12" i="29"/>
  <c r="Q88" i="29"/>
  <c r="S88" i="29" l="1"/>
  <c r="T12" i="29"/>
  <c r="G12" i="49"/>
  <c r="G13" i="49"/>
  <c r="G14" i="49"/>
  <c r="G15" i="49"/>
  <c r="G16" i="49"/>
  <c r="G17" i="49"/>
  <c r="G18" i="49"/>
  <c r="G19" i="49"/>
  <c r="G20" i="49"/>
  <c r="G21" i="49"/>
  <c r="G22" i="49"/>
  <c r="F12" i="11" l="1"/>
  <c r="F78" i="11" s="1"/>
  <c r="H12" i="11"/>
  <c r="H78" i="11" s="1"/>
  <c r="I12" i="11"/>
  <c r="I78" i="11" s="1"/>
  <c r="J12" i="11"/>
  <c r="J78" i="11" s="1"/>
  <c r="K12" i="11"/>
  <c r="K78" i="11" s="1"/>
  <c r="L28" i="16"/>
  <c r="D28" i="20"/>
  <c r="A5" i="20"/>
  <c r="A5" i="21"/>
  <c r="A5" i="17"/>
  <c r="A5" i="19"/>
  <c r="A5" i="16"/>
  <c r="A5" i="18"/>
  <c r="B5" i="71"/>
  <c r="N15" i="17"/>
  <c r="N17" i="17"/>
  <c r="N27" i="17"/>
  <c r="J46" i="71"/>
  <c r="J78" i="71"/>
  <c r="A1" i="20"/>
  <c r="A1" i="16"/>
  <c r="A12" i="16"/>
  <c r="A12" i="17" s="1"/>
  <c r="A1" i="63"/>
  <c r="A1" i="18"/>
  <c r="J28" i="16"/>
  <c r="A1" i="54"/>
  <c r="A13" i="29"/>
  <c r="E18" i="97"/>
  <c r="C51" i="71"/>
  <c r="B28" i="16"/>
  <c r="F28" i="16"/>
  <c r="H28" i="16"/>
  <c r="B28" i="17"/>
  <c r="D28" i="17"/>
  <c r="B1" i="100" l="1"/>
  <c r="E31" i="97"/>
  <c r="A1" i="79"/>
  <c r="L40" i="20"/>
  <c r="A30" i="20"/>
  <c r="A30" i="17"/>
  <c r="C42" i="71"/>
  <c r="C70" i="71"/>
  <c r="A12" i="20"/>
  <c r="C61" i="71"/>
  <c r="C49" i="71"/>
  <c r="E49" i="71" s="1"/>
  <c r="I49" i="71" s="1"/>
  <c r="C39" i="71"/>
  <c r="B24" i="79" s="1"/>
  <c r="B25" i="79" s="1"/>
  <c r="B26" i="79" s="1"/>
  <c r="C45" i="71"/>
  <c r="C14" i="71"/>
  <c r="C16" i="71"/>
  <c r="E16" i="71" s="1"/>
  <c r="C56" i="71"/>
  <c r="C57" i="71"/>
  <c r="C59" i="71"/>
  <c r="C60" i="71"/>
  <c r="C63" i="71"/>
  <c r="C65" i="71"/>
  <c r="C67" i="71"/>
  <c r="C68" i="71"/>
  <c r="C69" i="71"/>
  <c r="C75" i="71"/>
  <c r="C48" i="71"/>
  <c r="C18" i="71"/>
  <c r="E18" i="71" s="1"/>
  <c r="I18" i="71" s="1"/>
  <c r="C62" i="71"/>
  <c r="H70" i="16"/>
  <c r="T70" i="16" s="1"/>
  <c r="G76" i="71" s="1"/>
  <c r="C71" i="71"/>
  <c r="C44" i="71"/>
  <c r="C40" i="18" l="1"/>
  <c r="R17" i="16" s="1"/>
  <c r="C38" i="71"/>
  <c r="E19" i="97" s="1"/>
  <c r="E39" i="71"/>
  <c r="E20" i="97"/>
  <c r="I87" i="71"/>
  <c r="L87" i="71" s="1"/>
  <c r="N87" i="71" s="1"/>
  <c r="C53" i="71"/>
  <c r="E33" i="97" s="1"/>
  <c r="C73" i="71"/>
  <c r="E53" i="97" s="1"/>
  <c r="D67" i="16"/>
  <c r="C46" i="71"/>
  <c r="S22" i="77" s="1"/>
  <c r="T22" i="77" s="1"/>
  <c r="C54" i="77"/>
  <c r="E48" i="97"/>
  <c r="E51" i="97"/>
  <c r="E42" i="97"/>
  <c r="E55" i="97"/>
  <c r="E47" i="97"/>
  <c r="E39" i="97"/>
  <c r="E41" i="97"/>
  <c r="E45" i="97"/>
  <c r="E37" i="97"/>
  <c r="C73" i="77"/>
  <c r="E14" i="71"/>
  <c r="E49" i="97"/>
  <c r="E43" i="97"/>
  <c r="E36" i="97"/>
  <c r="F36" i="97" s="1"/>
  <c r="E26" i="97"/>
  <c r="E45" i="71"/>
  <c r="I45" i="71" s="1"/>
  <c r="L45" i="71" s="1"/>
  <c r="N45" i="71" s="1"/>
  <c r="C72" i="77"/>
  <c r="E12" i="71"/>
  <c r="C38" i="18" s="1"/>
  <c r="E50" i="97"/>
  <c r="E40" i="97"/>
  <c r="E25" i="97"/>
  <c r="E23" i="97"/>
  <c r="E29" i="97"/>
  <c r="E28" i="97"/>
  <c r="E49" i="49"/>
  <c r="A1" i="77"/>
  <c r="A1" i="86" s="1"/>
  <c r="C26" i="71"/>
  <c r="K48" i="96" s="1"/>
  <c r="C27" i="71"/>
  <c r="C43" i="71"/>
  <c r="D38" i="16"/>
  <c r="T38" i="16" s="1"/>
  <c r="G43" i="71" s="1"/>
  <c r="C41" i="71"/>
  <c r="E41" i="71" s="1"/>
  <c r="I41" i="71" s="1"/>
  <c r="C76" i="71"/>
  <c r="L69" i="20"/>
  <c r="L42" i="20"/>
  <c r="H80" i="20"/>
  <c r="H82" i="20" s="1"/>
  <c r="L54" i="71"/>
  <c r="N54" i="71" s="1"/>
  <c r="L66" i="71"/>
  <c r="N66" i="71" s="1"/>
  <c r="T72" i="16"/>
  <c r="C30" i="71"/>
  <c r="A5" i="49"/>
  <c r="A5" i="79" s="1"/>
  <c r="L72" i="71"/>
  <c r="N72" i="71" s="1"/>
  <c r="T68" i="16"/>
  <c r="D27" i="16"/>
  <c r="L64" i="71"/>
  <c r="N64" i="71" s="1"/>
  <c r="L74" i="71"/>
  <c r="N74" i="71" s="1"/>
  <c r="D38" i="18" l="1"/>
  <c r="R13" i="16" s="1"/>
  <c r="C80" i="11"/>
  <c r="Z80" i="11" s="1"/>
  <c r="C80" i="71"/>
  <c r="G16" i="71"/>
  <c r="I16" i="71" s="1"/>
  <c r="L16" i="71" s="1"/>
  <c r="N16" i="71" s="1"/>
  <c r="T17" i="16"/>
  <c r="C39" i="18"/>
  <c r="D39" i="18" s="1"/>
  <c r="R15" i="16" s="1"/>
  <c r="T61" i="16" s="1"/>
  <c r="E27" i="97"/>
  <c r="H26" i="63"/>
  <c r="E73" i="71"/>
  <c r="F34" i="16"/>
  <c r="T39" i="16"/>
  <c r="G44" i="71" s="1"/>
  <c r="T67" i="16"/>
  <c r="G73" i="71" s="1"/>
  <c r="C9" i="94"/>
  <c r="K27" i="94" s="1"/>
  <c r="D46" i="71"/>
  <c r="E46" i="71" s="1"/>
  <c r="I46" i="71" s="1"/>
  <c r="C74" i="77"/>
  <c r="D72" i="77" s="1"/>
  <c r="C76" i="77" s="1"/>
  <c r="E26" i="71"/>
  <c r="E11" i="97"/>
  <c r="E76" i="71"/>
  <c r="I76" i="71" s="1"/>
  <c r="L76" i="71" s="1"/>
  <c r="N76" i="71" s="1"/>
  <c r="E56" i="97"/>
  <c r="E43" i="71"/>
  <c r="I43" i="71" s="1"/>
  <c r="E24" i="97"/>
  <c r="E22" i="97"/>
  <c r="C65" i="77"/>
  <c r="T46" i="16"/>
  <c r="A5" i="77"/>
  <c r="N13" i="17"/>
  <c r="T45" i="16"/>
  <c r="T27" i="16"/>
  <c r="D28" i="16"/>
  <c r="T63" i="16"/>
  <c r="T16" i="16"/>
  <c r="G12" i="71" l="1"/>
  <c r="I12" i="71" s="1"/>
  <c r="G14" i="71"/>
  <c r="I14" i="71" s="1"/>
  <c r="L14" i="71" s="1"/>
  <c r="N14" i="71" s="1"/>
  <c r="T15" i="16"/>
  <c r="T28" i="16" s="1"/>
  <c r="G26" i="71"/>
  <c r="I26" i="71"/>
  <c r="R28" i="16"/>
  <c r="K47" i="96"/>
  <c r="K49" i="96" s="1"/>
  <c r="F30" i="97" s="1"/>
  <c r="B28" i="79"/>
  <c r="A5" i="96"/>
  <c r="A5" i="98"/>
  <c r="A5" i="99"/>
  <c r="A5" i="97"/>
  <c r="D73" i="77"/>
  <c r="C77" i="77" s="1"/>
  <c r="C89" i="71"/>
  <c r="E61" i="97"/>
  <c r="T34" i="16"/>
  <c r="N16" i="17"/>
  <c r="H48" i="17"/>
  <c r="H19" i="17"/>
  <c r="E59" i="97"/>
  <c r="D73" i="16"/>
  <c r="D75" i="16" s="1"/>
  <c r="I73" i="71"/>
  <c r="L73" i="71" s="1"/>
  <c r="N73" i="71" s="1"/>
  <c r="C83" i="71"/>
  <c r="C88" i="71" s="1"/>
  <c r="N14" i="17"/>
  <c r="F28" i="17"/>
  <c r="A5" i="86"/>
  <c r="L46" i="71"/>
  <c r="N46" i="71" s="1"/>
  <c r="T65" i="16"/>
  <c r="T69" i="16"/>
  <c r="T54" i="16"/>
  <c r="T36" i="16"/>
  <c r="H73" i="16"/>
  <c r="H75" i="16" s="1"/>
  <c r="N28" i="16"/>
  <c r="N48" i="17" l="1"/>
  <c r="J47" i="71" s="1"/>
  <c r="L47" i="71" s="1"/>
  <c r="N47" i="71" s="1"/>
  <c r="G39" i="71"/>
  <c r="E62" i="97"/>
  <c r="N19" i="17"/>
  <c r="H28" i="17"/>
  <c r="H69" i="17" s="1"/>
  <c r="H56" i="17"/>
  <c r="L49" i="71"/>
  <c r="N49" i="71" s="1"/>
  <c r="R73" i="16"/>
  <c r="R75" i="16" s="1"/>
  <c r="L73" i="16"/>
  <c r="L75" i="16" s="1"/>
  <c r="F73" i="16"/>
  <c r="F75" i="16" s="1"/>
  <c r="J68" i="71" l="1"/>
  <c r="N69" i="17"/>
  <c r="I39" i="71"/>
  <c r="L39" i="71" s="1"/>
  <c r="N39" i="71" s="1"/>
  <c r="J26" i="71"/>
  <c r="L18" i="71"/>
  <c r="N18" i="71" s="1"/>
  <c r="L78" i="71"/>
  <c r="N78" i="71" s="1"/>
  <c r="H80" i="17"/>
  <c r="H82" i="17" s="1"/>
  <c r="L59" i="20"/>
  <c r="B28" i="20"/>
  <c r="J55" i="17"/>
  <c r="F18" i="20"/>
  <c r="L12" i="71" l="1"/>
  <c r="N12" i="71" s="1"/>
  <c r="N26" i="71" s="1"/>
  <c r="F21" i="20"/>
  <c r="L21" i="20" s="1"/>
  <c r="L18" i="20"/>
  <c r="D80" i="20"/>
  <c r="D82" i="20" s="1"/>
  <c r="J28" i="17"/>
  <c r="N18" i="17"/>
  <c r="N28" i="17" s="1"/>
  <c r="L26" i="71" l="1"/>
  <c r="F28" i="20"/>
  <c r="F82" i="20" l="1"/>
  <c r="L28" i="20"/>
  <c r="H9" i="54"/>
  <c r="C8" i="94" s="1"/>
  <c r="I27" i="94" s="1"/>
  <c r="H10" i="54"/>
  <c r="C5" i="94"/>
  <c r="I7" i="94" s="1"/>
  <c r="I26" i="94" l="1"/>
  <c r="I28" i="94" s="1"/>
  <c r="AA16" i="94"/>
  <c r="AA12" i="94"/>
  <c r="L27" i="94"/>
  <c r="AA27" i="94"/>
  <c r="AA29" i="94"/>
  <c r="AA17" i="94"/>
  <c r="AA34" i="94"/>
  <c r="AA28" i="94"/>
  <c r="AA9" i="94"/>
  <c r="AA23" i="94"/>
  <c r="AA22" i="94"/>
  <c r="AA8" i="94"/>
  <c r="AA13" i="94"/>
  <c r="AA37" i="94"/>
  <c r="AA19" i="94"/>
  <c r="AA6" i="94"/>
  <c r="AA24" i="94"/>
  <c r="AA26" i="94"/>
  <c r="AA14" i="94"/>
  <c r="AA21" i="94"/>
  <c r="AA32" i="94"/>
  <c r="AA18" i="94"/>
  <c r="AA33" i="94"/>
  <c r="AA39" i="94"/>
  <c r="AA38" i="94"/>
  <c r="AA36" i="94"/>
  <c r="AA7" i="94"/>
  <c r="AA11" i="94"/>
  <c r="AA31" i="94"/>
  <c r="J19" i="94"/>
  <c r="B80" i="17" l="1"/>
  <c r="B82" i="17" s="1"/>
  <c r="F24" i="63" l="1"/>
  <c r="H24" i="63"/>
  <c r="H27" i="63" s="1"/>
  <c r="B71" i="16" l="1"/>
  <c r="B73" i="16" s="1"/>
  <c r="B75" i="16" s="1"/>
  <c r="H30" i="63"/>
  <c r="T71" i="16" l="1"/>
  <c r="G77" i="71" l="1"/>
  <c r="L43" i="71" l="1"/>
  <c r="N43" i="71" s="1"/>
  <c r="L41" i="71" l="1"/>
  <c r="N41" i="71" s="1"/>
  <c r="G29" i="49" l="1"/>
  <c r="G34" i="49"/>
  <c r="G36" i="49"/>
  <c r="G28" i="49"/>
  <c r="G30" i="49"/>
  <c r="G32" i="49"/>
  <c r="G39" i="49"/>
  <c r="G37" i="49"/>
  <c r="G33" i="49"/>
  <c r="G31" i="49"/>
  <c r="G35" i="49"/>
  <c r="G38" i="49"/>
  <c r="D56" i="71"/>
  <c r="E56" i="71" s="1"/>
  <c r="I56" i="71" s="1"/>
  <c r="L56" i="71" s="1"/>
  <c r="N56" i="71" s="1"/>
  <c r="D50" i="71"/>
  <c r="E50" i="71" s="1"/>
  <c r="I50" i="71" s="1"/>
  <c r="L50" i="71" s="1"/>
  <c r="N50" i="71" s="1"/>
  <c r="G43" i="49" l="1"/>
  <c r="F34" i="71"/>
  <c r="L35" i="20"/>
  <c r="F33" i="71"/>
  <c r="E45" i="49" l="1"/>
  <c r="E47" i="49" s="1"/>
  <c r="E51" i="49" s="1"/>
  <c r="E52" i="49" s="1"/>
  <c r="L34" i="20"/>
  <c r="C81" i="11"/>
  <c r="Z81" i="11"/>
  <c r="D31" i="71"/>
  <c r="E31" i="71" s="1"/>
  <c r="D32" i="71"/>
  <c r="E32" i="71" s="1"/>
  <c r="D33" i="71"/>
  <c r="E33" i="71" s="1"/>
  <c r="I33" i="71" s="1"/>
  <c r="D34" i="71"/>
  <c r="E34" i="71" s="1"/>
  <c r="I34" i="71" s="1"/>
  <c r="D35" i="71"/>
  <c r="E35" i="71" s="1"/>
  <c r="F35" i="17"/>
  <c r="F34" i="17"/>
  <c r="N34" i="17" l="1"/>
  <c r="J33" i="71" s="1"/>
  <c r="L33" i="71" s="1"/>
  <c r="N33" i="71" s="1"/>
  <c r="N35" i="17"/>
  <c r="J34" i="71" s="1"/>
  <c r="L34" i="71" s="1"/>
  <c r="N34" i="71" s="1"/>
  <c r="Y101" i="28"/>
  <c r="F36" i="17" s="1"/>
  <c r="J35" i="71" s="1"/>
  <c r="J77" i="71"/>
  <c r="B33" i="20"/>
  <c r="F32" i="71" s="1"/>
  <c r="I32" i="71" s="1"/>
  <c r="D49" i="17"/>
  <c r="N49" i="17" s="1"/>
  <c r="B32" i="20"/>
  <c r="F31" i="71" s="1"/>
  <c r="I31" i="71" s="1"/>
  <c r="B36" i="20"/>
  <c r="F35" i="71" s="1"/>
  <c r="I35" i="71" s="1"/>
  <c r="F28" i="97"/>
  <c r="D48" i="71" s="1"/>
  <c r="E48" i="71" s="1"/>
  <c r="I48" i="71" s="1"/>
  <c r="F33" i="17"/>
  <c r="F32" i="17"/>
  <c r="N32" i="17" s="1"/>
  <c r="N33" i="17" l="1"/>
  <c r="J32" i="71" s="1"/>
  <c r="L32" i="71" s="1"/>
  <c r="N32" i="71" s="1"/>
  <c r="L32" i="20"/>
  <c r="F48" i="97"/>
  <c r="D68" i="71" s="1"/>
  <c r="E68" i="71" s="1"/>
  <c r="I68" i="71" s="1"/>
  <c r="L68" i="71" s="1"/>
  <c r="N68" i="71" s="1"/>
  <c r="F25" i="97"/>
  <c r="D44" i="71" s="1"/>
  <c r="E44" i="71" s="1"/>
  <c r="I44" i="71" s="1"/>
  <c r="L44" i="71" s="1"/>
  <c r="N44" i="71" s="1"/>
  <c r="F40" i="97"/>
  <c r="D60" i="71" s="1"/>
  <c r="E60" i="71" s="1"/>
  <c r="I60" i="71" s="1"/>
  <c r="L60" i="71" s="1"/>
  <c r="N60" i="71" s="1"/>
  <c r="F19" i="97"/>
  <c r="D38" i="71" s="1"/>
  <c r="E38" i="71" s="1"/>
  <c r="I38" i="71" s="1"/>
  <c r="L38" i="71" s="1"/>
  <c r="N38" i="71" s="1"/>
  <c r="R88" i="29"/>
  <c r="F39" i="97"/>
  <c r="D59" i="71" s="1"/>
  <c r="E59" i="71" s="1"/>
  <c r="I59" i="71" s="1"/>
  <c r="L59" i="71" s="1"/>
  <c r="N59" i="71" s="1"/>
  <c r="J75" i="71"/>
  <c r="F23" i="97"/>
  <c r="D42" i="71" s="1"/>
  <c r="E42" i="71" s="1"/>
  <c r="I42" i="71" s="1"/>
  <c r="L42" i="71" s="1"/>
  <c r="N42" i="71" s="1"/>
  <c r="F37" i="97"/>
  <c r="D57" i="71" s="1"/>
  <c r="E57" i="71" s="1"/>
  <c r="I57" i="71" s="1"/>
  <c r="L57" i="71" s="1"/>
  <c r="N57" i="71" s="1"/>
  <c r="F43" i="97"/>
  <c r="D63" i="71" s="1"/>
  <c r="E63" i="71" s="1"/>
  <c r="I63" i="71" s="1"/>
  <c r="L63" i="71" s="1"/>
  <c r="N63" i="71" s="1"/>
  <c r="L37" i="20"/>
  <c r="F36" i="71"/>
  <c r="I36" i="71" s="1"/>
  <c r="F35" i="97"/>
  <c r="D55" i="71" s="1"/>
  <c r="E55" i="71" s="1"/>
  <c r="I55" i="71" s="1"/>
  <c r="L55" i="71" s="1"/>
  <c r="N55" i="71" s="1"/>
  <c r="F47" i="97"/>
  <c r="D67" i="71" s="1"/>
  <c r="E67" i="71" s="1"/>
  <c r="I67" i="71" s="1"/>
  <c r="L67" i="71" s="1"/>
  <c r="N67" i="71" s="1"/>
  <c r="F50" i="97"/>
  <c r="D70" i="71" s="1"/>
  <c r="E70" i="71" s="1"/>
  <c r="I70" i="71" s="1"/>
  <c r="L70" i="71" s="1"/>
  <c r="N70" i="71" s="1"/>
  <c r="F38" i="97"/>
  <c r="D58" i="71" s="1"/>
  <c r="E58" i="71" s="1"/>
  <c r="I58" i="71" s="1"/>
  <c r="L58" i="71" s="1"/>
  <c r="N58" i="71" s="1"/>
  <c r="F45" i="97"/>
  <c r="D65" i="71" s="1"/>
  <c r="E65" i="71" s="1"/>
  <c r="I65" i="71" s="1"/>
  <c r="L65" i="71" s="1"/>
  <c r="N65" i="71" s="1"/>
  <c r="L36" i="20"/>
  <c r="F32" i="97"/>
  <c r="D52" i="71" s="1"/>
  <c r="E52" i="71" s="1"/>
  <c r="I52" i="71" s="1"/>
  <c r="L52" i="71" s="1"/>
  <c r="N52" i="71" s="1"/>
  <c r="E75" i="71"/>
  <c r="I75" i="71" s="1"/>
  <c r="Y91" i="28"/>
  <c r="F42" i="97"/>
  <c r="D62" i="71" s="1"/>
  <c r="E62" i="71" s="1"/>
  <c r="I62" i="71" s="1"/>
  <c r="L62" i="71" s="1"/>
  <c r="N62" i="71" s="1"/>
  <c r="L33" i="20"/>
  <c r="F51" i="97"/>
  <c r="D71" i="71" s="1"/>
  <c r="E71" i="71" s="1"/>
  <c r="I71" i="71" s="1"/>
  <c r="L71" i="71" s="1"/>
  <c r="N71" i="71" s="1"/>
  <c r="F41" i="97"/>
  <c r="D61" i="71" s="1"/>
  <c r="E61" i="71" s="1"/>
  <c r="I61" i="71" s="1"/>
  <c r="L61" i="71" s="1"/>
  <c r="N61" i="71" s="1"/>
  <c r="F33" i="97"/>
  <c r="D53" i="71" s="1"/>
  <c r="E53" i="71" s="1"/>
  <c r="I53" i="71" s="1"/>
  <c r="L53" i="71" s="1"/>
  <c r="N53" i="71" s="1"/>
  <c r="F49" i="97"/>
  <c r="D69" i="71" s="1"/>
  <c r="E69" i="71" s="1"/>
  <c r="I69" i="71" s="1"/>
  <c r="L69" i="71" s="1"/>
  <c r="N69" i="71" s="1"/>
  <c r="AD78" i="11"/>
  <c r="AD79" i="11" s="1"/>
  <c r="J48" i="71"/>
  <c r="L48" i="71" s="1"/>
  <c r="N48" i="71" s="1"/>
  <c r="D80" i="17"/>
  <c r="D82" i="17" s="1"/>
  <c r="T88" i="29"/>
  <c r="J36" i="71"/>
  <c r="L35" i="71"/>
  <c r="N35" i="71" s="1"/>
  <c r="J31" i="71"/>
  <c r="T93" i="29" l="1"/>
  <c r="D31" i="18"/>
  <c r="T92" i="29"/>
  <c r="T91" i="29"/>
  <c r="T94" i="29" s="1"/>
  <c r="D35" i="18"/>
  <c r="E20" i="18"/>
  <c r="E19" i="18"/>
  <c r="D34" i="18"/>
  <c r="D30" i="18"/>
  <c r="D28" i="18"/>
  <c r="D29" i="18"/>
  <c r="E21" i="18"/>
  <c r="Q94" i="29"/>
  <c r="F18" i="97" s="1"/>
  <c r="D37" i="71" s="1"/>
  <c r="E37" i="71" s="1"/>
  <c r="T96" i="29"/>
  <c r="Q96" i="29"/>
  <c r="F38" i="17" s="1"/>
  <c r="N38" i="17" s="1"/>
  <c r="B31" i="20"/>
  <c r="F30" i="71" s="1"/>
  <c r="F80" i="71" s="1"/>
  <c r="AB80" i="11"/>
  <c r="F11" i="97" s="1"/>
  <c r="D30" i="71" s="1"/>
  <c r="E30" i="71" s="1"/>
  <c r="J80" i="17"/>
  <c r="J82" i="17" s="1"/>
  <c r="L36" i="71"/>
  <c r="N36" i="71" s="1"/>
  <c r="L75" i="71"/>
  <c r="N75" i="71" s="1"/>
  <c r="AD80" i="11"/>
  <c r="L31" i="71"/>
  <c r="N31" i="71" s="1"/>
  <c r="N32" i="16" l="1"/>
  <c r="N73" i="16" s="1"/>
  <c r="N75" i="16" s="1"/>
  <c r="P32" i="16"/>
  <c r="P73" i="16" s="1"/>
  <c r="P75" i="16" s="1"/>
  <c r="J32" i="16"/>
  <c r="T32" i="16" s="1"/>
  <c r="L31" i="20"/>
  <c r="L80" i="20" s="1"/>
  <c r="L82" i="20" s="1"/>
  <c r="B80" i="20"/>
  <c r="B82" i="20" s="1"/>
  <c r="F31" i="97"/>
  <c r="D51" i="71" s="1"/>
  <c r="E51" i="71" s="1"/>
  <c r="I51" i="71" s="1"/>
  <c r="T98" i="29"/>
  <c r="T99" i="29" s="1"/>
  <c r="T100" i="29" s="1"/>
  <c r="J24" i="63"/>
  <c r="H29" i="63" s="1"/>
  <c r="H31" i="63" s="1"/>
  <c r="D77" i="71" s="1"/>
  <c r="E77" i="71" s="1"/>
  <c r="I77" i="71" s="1"/>
  <c r="J37" i="71"/>
  <c r="L24" i="63"/>
  <c r="I30" i="71"/>
  <c r="J73" i="16" l="1"/>
  <c r="J75" i="16" s="1"/>
  <c r="Y93" i="28"/>
  <c r="Y94" i="28" s="1"/>
  <c r="F52" i="17" s="1"/>
  <c r="N52" i="17" s="1"/>
  <c r="J51" i="71" s="1"/>
  <c r="L51" i="71" s="1"/>
  <c r="N51" i="71" s="1"/>
  <c r="G37" i="71"/>
  <c r="T73" i="16"/>
  <c r="T75" i="16" s="1"/>
  <c r="L77" i="71"/>
  <c r="N77" i="71" s="1"/>
  <c r="T393" i="100"/>
  <c r="D80" i="71"/>
  <c r="F61" i="97" s="1"/>
  <c r="E80" i="71"/>
  <c r="B29" i="79" s="1"/>
  <c r="F59" i="97"/>
  <c r="N24" i="63"/>
  <c r="J46" i="94"/>
  <c r="J47" i="94" s="1"/>
  <c r="L30" i="71"/>
  <c r="F80" i="17" l="1"/>
  <c r="F82" i="17" s="1"/>
  <c r="G80" i="71"/>
  <c r="G83" i="71" s="1"/>
  <c r="G84" i="71" s="1"/>
  <c r="I37" i="71"/>
  <c r="N80" i="17"/>
  <c r="N82" i="17" s="1"/>
  <c r="P24" i="63"/>
  <c r="C7" i="94" s="1"/>
  <c r="J28" i="94" s="1"/>
  <c r="S7" i="94" s="1"/>
  <c r="T7" i="94" s="1"/>
  <c r="U7" i="94" s="1"/>
  <c r="W7" i="94" s="1"/>
  <c r="X7" i="94" s="1"/>
  <c r="Y7" i="94" s="1"/>
  <c r="Z7" i="94" s="1"/>
  <c r="AB7" i="94" s="1"/>
  <c r="AC7" i="94" s="1"/>
  <c r="AD7" i="94" s="1"/>
  <c r="F62" i="97"/>
  <c r="J80" i="71"/>
  <c r="J83" i="71" s="1"/>
  <c r="J84" i="71" s="1"/>
  <c r="L37" i="71" l="1"/>
  <c r="I80" i="71"/>
  <c r="S8" i="94"/>
  <c r="T8" i="94" s="1"/>
  <c r="U8" i="94" s="1"/>
  <c r="W8" i="94" s="1"/>
  <c r="X8" i="94" s="1"/>
  <c r="Y8" i="94" s="1"/>
  <c r="Z8" i="94" s="1"/>
  <c r="AB8" i="94" s="1"/>
  <c r="AC8" i="94" s="1"/>
  <c r="AD8" i="94" s="1"/>
  <c r="J27" i="94"/>
  <c r="M27" i="94" s="1"/>
  <c r="K11" i="94" s="1"/>
  <c r="M11" i="94" s="1"/>
  <c r="J26" i="94"/>
  <c r="S6" i="94"/>
  <c r="T6" i="94" s="1"/>
  <c r="U6" i="94" s="1"/>
  <c r="W6" i="94" s="1"/>
  <c r="X6" i="94" s="1"/>
  <c r="Y6" i="94" s="1"/>
  <c r="Z6" i="94" s="1"/>
  <c r="AB6" i="94" s="1"/>
  <c r="AC6" i="94" s="1"/>
  <c r="AD6" i="94" s="1"/>
  <c r="S9" i="94"/>
  <c r="T9" i="94" s="1"/>
  <c r="U9" i="94" s="1"/>
  <c r="W9" i="94" s="1"/>
  <c r="X9" i="94" s="1"/>
  <c r="Y9" i="94" s="1"/>
  <c r="Z9" i="94" s="1"/>
  <c r="AB9" i="94" s="1"/>
  <c r="AC9" i="94" s="1"/>
  <c r="AD9" i="94" s="1"/>
  <c r="I83" i="71" l="1"/>
  <c r="I88" i="71" s="1"/>
  <c r="I89" i="71"/>
  <c r="N37" i="71"/>
  <c r="N80" i="71" s="1"/>
  <c r="L80" i="71"/>
  <c r="I11" i="94"/>
  <c r="C6" i="94" l="1"/>
  <c r="I8" i="94" s="1"/>
  <c r="N83" i="71"/>
  <c r="N88" i="71" s="1"/>
  <c r="N89" i="71"/>
  <c r="L83" i="71"/>
  <c r="L88" i="71" s="1"/>
  <c r="L89" i="71"/>
  <c r="AE6" i="94" l="1"/>
  <c r="AF6" i="94" s="1"/>
  <c r="I16" i="94"/>
  <c r="AE7" i="94"/>
  <c r="AF7" i="94" s="1"/>
  <c r="K8" i="94"/>
  <c r="AE8" i="94"/>
  <c r="AF8" i="94" s="1"/>
  <c r="AE9" i="94"/>
  <c r="AF9" i="94" s="1"/>
  <c r="I9" i="94"/>
  <c r="AG6" i="94"/>
  <c r="AH6" i="94"/>
  <c r="AI6" i="94"/>
  <c r="J7" i="94"/>
  <c r="K7" i="94"/>
  <c r="L7" i="94"/>
  <c r="M7" i="94"/>
  <c r="AG7" i="94"/>
  <c r="AH7" i="94"/>
  <c r="AI7" i="94"/>
  <c r="L8" i="94"/>
  <c r="M8" i="94"/>
  <c r="AG8" i="94"/>
  <c r="AH8" i="94"/>
  <c r="AI8" i="94"/>
  <c r="K9" i="94"/>
  <c r="M9" i="94"/>
  <c r="AG9" i="94"/>
  <c r="AH9" i="94"/>
  <c r="AI9" i="94"/>
  <c r="S11" i="94"/>
  <c r="T11" i="94"/>
  <c r="U11" i="94"/>
  <c r="W11" i="94"/>
  <c r="X11" i="94"/>
  <c r="Y11" i="94"/>
  <c r="Z11" i="94"/>
  <c r="AB11" i="94"/>
  <c r="AC11" i="94"/>
  <c r="AD11" i="94"/>
  <c r="AE11" i="94"/>
  <c r="AF11" i="94"/>
  <c r="AG11" i="94"/>
  <c r="AH11" i="94"/>
  <c r="AI11" i="94"/>
  <c r="I12" i="94"/>
  <c r="J12" i="94"/>
  <c r="K12" i="94"/>
  <c r="M12" i="94"/>
  <c r="S12" i="94"/>
  <c r="T12" i="94"/>
  <c r="U12" i="94"/>
  <c r="W12" i="94"/>
  <c r="X12" i="94"/>
  <c r="Y12" i="94"/>
  <c r="Z12" i="94"/>
  <c r="AB12" i="94"/>
  <c r="AC12" i="94"/>
  <c r="AD12" i="94"/>
  <c r="AE12" i="94"/>
  <c r="AF12" i="94"/>
  <c r="AG12" i="94"/>
  <c r="AH12" i="94"/>
  <c r="AI12" i="94"/>
  <c r="S13" i="94"/>
  <c r="T13" i="94"/>
  <c r="U13" i="94"/>
  <c r="W13" i="94"/>
  <c r="X13" i="94"/>
  <c r="Y13" i="94"/>
  <c r="Z13" i="94"/>
  <c r="AB13" i="94"/>
  <c r="AC13" i="94"/>
  <c r="AD13" i="94"/>
  <c r="AE13" i="94"/>
  <c r="AF13" i="94"/>
  <c r="AG13" i="94"/>
  <c r="AH13" i="94"/>
  <c r="AI13" i="94"/>
  <c r="I14" i="94"/>
  <c r="K14" i="94"/>
  <c r="M14" i="94"/>
  <c r="S14" i="94"/>
  <c r="T14" i="94"/>
  <c r="U14" i="94"/>
  <c r="W14" i="94"/>
  <c r="X14" i="94"/>
  <c r="Y14" i="94"/>
  <c r="Z14" i="94"/>
  <c r="AB14" i="94"/>
  <c r="AC14" i="94"/>
  <c r="AD14" i="94"/>
  <c r="AE14" i="94"/>
  <c r="AF14" i="94"/>
  <c r="AG14" i="94"/>
  <c r="AH14" i="94"/>
  <c r="AI14" i="94"/>
  <c r="K16" i="94"/>
  <c r="M16" i="94"/>
  <c r="S16" i="94"/>
  <c r="T16" i="94"/>
  <c r="U16" i="94"/>
  <c r="W16" i="94"/>
  <c r="X16" i="94"/>
  <c r="Y16" i="94"/>
  <c r="Z16" i="94"/>
  <c r="AB16" i="94"/>
  <c r="AC16" i="94"/>
  <c r="AD16" i="94"/>
  <c r="AE16" i="94"/>
  <c r="AF16" i="94"/>
  <c r="AG16" i="94"/>
  <c r="AH16" i="94"/>
  <c r="AI16" i="94"/>
  <c r="S17" i="94"/>
  <c r="T17" i="94"/>
  <c r="U17" i="94"/>
  <c r="W17" i="94"/>
  <c r="X17" i="94"/>
  <c r="Y17" i="94"/>
  <c r="Z17" i="94"/>
  <c r="AB17" i="94"/>
  <c r="AC17" i="94"/>
  <c r="AD17" i="94"/>
  <c r="AE17" i="94"/>
  <c r="AF17" i="94"/>
  <c r="AG17" i="94"/>
  <c r="AH17" i="94"/>
  <c r="AI17" i="94"/>
  <c r="S18" i="94"/>
  <c r="T18" i="94"/>
  <c r="U18" i="94"/>
  <c r="W18" i="94"/>
  <c r="X18" i="94"/>
  <c r="Y18" i="94"/>
  <c r="Z18" i="94"/>
  <c r="AB18" i="94"/>
  <c r="AC18" i="94"/>
  <c r="AD18" i="94"/>
  <c r="AE18" i="94"/>
  <c r="AF18" i="94"/>
  <c r="AG18" i="94"/>
  <c r="AH18" i="94"/>
  <c r="AI18" i="94"/>
  <c r="M19" i="94"/>
  <c r="S19" i="94"/>
  <c r="T19" i="94"/>
  <c r="U19" i="94"/>
  <c r="W19" i="94"/>
  <c r="X19" i="94"/>
  <c r="Y19" i="94"/>
  <c r="Z19" i="94"/>
  <c r="AB19" i="94"/>
  <c r="AC19" i="94"/>
  <c r="AD19" i="94"/>
  <c r="AE19" i="94"/>
  <c r="AF19" i="94"/>
  <c r="AG19" i="94"/>
  <c r="AH19" i="94"/>
  <c r="AI19" i="94"/>
  <c r="J20" i="94"/>
  <c r="M20" i="94"/>
  <c r="J21" i="94"/>
  <c r="M21" i="94"/>
  <c r="S21" i="94"/>
  <c r="T21" i="94"/>
  <c r="U21" i="94"/>
  <c r="W21" i="94"/>
  <c r="X21" i="94"/>
  <c r="Y21" i="94"/>
  <c r="Z21" i="94"/>
  <c r="AB21" i="94"/>
  <c r="AC21" i="94"/>
  <c r="AD21" i="94"/>
  <c r="AE21" i="94"/>
  <c r="AF21" i="94"/>
  <c r="AG21" i="94"/>
  <c r="AH21" i="94"/>
  <c r="AI21" i="94"/>
  <c r="S22" i="94"/>
  <c r="T22" i="94"/>
  <c r="U22" i="94"/>
  <c r="W22" i="94"/>
  <c r="X22" i="94"/>
  <c r="Y22" i="94"/>
  <c r="Z22" i="94"/>
  <c r="AB22" i="94"/>
  <c r="AC22" i="94"/>
  <c r="AD22" i="94"/>
  <c r="AE22" i="94"/>
  <c r="AF22" i="94"/>
  <c r="AG22" i="94"/>
  <c r="AH22" i="94"/>
  <c r="AI22" i="94"/>
  <c r="S23" i="94"/>
  <c r="T23" i="94"/>
  <c r="U23" i="94"/>
  <c r="W23" i="94"/>
  <c r="X23" i="94"/>
  <c r="Y23" i="94"/>
  <c r="Z23" i="94"/>
  <c r="AB23" i="94"/>
  <c r="AC23" i="94"/>
  <c r="AD23" i="94"/>
  <c r="AE23" i="94"/>
  <c r="AF23" i="94"/>
  <c r="AG23" i="94"/>
  <c r="AH23" i="94"/>
  <c r="AI23" i="94"/>
  <c r="S24" i="94"/>
  <c r="T24" i="94"/>
  <c r="U24" i="94"/>
  <c r="W24" i="94"/>
  <c r="X24" i="94"/>
  <c r="Y24" i="94"/>
  <c r="Z24" i="94"/>
  <c r="AB24" i="94"/>
  <c r="AC24" i="94"/>
  <c r="AD24" i="94"/>
  <c r="AE24" i="94"/>
  <c r="AF24" i="94"/>
  <c r="AG24" i="94"/>
  <c r="AH24" i="94"/>
  <c r="AI24" i="94"/>
  <c r="K26" i="94"/>
  <c r="L26" i="94"/>
  <c r="M26" i="94"/>
  <c r="S26" i="94"/>
  <c r="T26" i="94"/>
  <c r="U26" i="94"/>
  <c r="W26" i="94"/>
  <c r="X26" i="94"/>
  <c r="Y26" i="94"/>
  <c r="Z26" i="94"/>
  <c r="AB26" i="94"/>
  <c r="AC26" i="94"/>
  <c r="AD26" i="94"/>
  <c r="AE26" i="94"/>
  <c r="AF26" i="94"/>
  <c r="AG26" i="94"/>
  <c r="AH26" i="94"/>
  <c r="AI26" i="94"/>
  <c r="S27" i="94"/>
  <c r="T27" i="94"/>
  <c r="U27" i="94"/>
  <c r="W27" i="94"/>
  <c r="X27" i="94"/>
  <c r="Y27" i="94"/>
  <c r="Z27" i="94"/>
  <c r="AB27" i="94"/>
  <c r="AC27" i="94"/>
  <c r="AD27" i="94"/>
  <c r="AE27" i="94"/>
  <c r="AF27" i="94"/>
  <c r="AG27" i="94"/>
  <c r="AH27" i="94"/>
  <c r="AI27" i="94"/>
  <c r="L28" i="94"/>
  <c r="M28" i="94"/>
  <c r="S28" i="94"/>
  <c r="T28" i="94"/>
  <c r="U28" i="94"/>
  <c r="W28" i="94"/>
  <c r="X28" i="94"/>
  <c r="Y28" i="94"/>
  <c r="Z28" i="94"/>
  <c r="AB28" i="94"/>
  <c r="AC28" i="94"/>
  <c r="AD28" i="94"/>
  <c r="AE28" i="94"/>
  <c r="AF28" i="94"/>
  <c r="AG28" i="94"/>
  <c r="AH28" i="94"/>
  <c r="AI28" i="94"/>
  <c r="S29" i="94"/>
  <c r="T29" i="94"/>
  <c r="U29" i="94"/>
  <c r="W29" i="94"/>
  <c r="X29" i="94"/>
  <c r="Y29" i="94"/>
  <c r="Z29" i="94"/>
  <c r="AB29" i="94"/>
  <c r="AC29" i="94"/>
  <c r="AD29" i="94"/>
  <c r="AE29" i="94"/>
  <c r="AF29" i="94"/>
  <c r="AG29" i="94"/>
  <c r="AH29" i="94"/>
  <c r="AI29" i="94"/>
  <c r="S31" i="94"/>
  <c r="T31" i="94"/>
  <c r="U31" i="94"/>
  <c r="W31" i="94"/>
  <c r="X31" i="94"/>
  <c r="Y31" i="94"/>
  <c r="Z31" i="94"/>
  <c r="AB31" i="94"/>
  <c r="AC31" i="94"/>
  <c r="AD31" i="94"/>
  <c r="AE31" i="94"/>
  <c r="AF31" i="94"/>
  <c r="AG31" i="94"/>
  <c r="AH31" i="94"/>
  <c r="AI31" i="94"/>
  <c r="S32" i="94"/>
  <c r="T32" i="94"/>
  <c r="U32" i="94"/>
  <c r="W32" i="94"/>
  <c r="X32" i="94"/>
  <c r="Y32" i="94"/>
  <c r="Z32" i="94"/>
  <c r="AB32" i="94"/>
  <c r="AC32" i="94"/>
  <c r="AD32" i="94"/>
  <c r="AE32" i="94"/>
  <c r="AF32" i="94"/>
  <c r="AG32" i="94"/>
  <c r="AH32" i="94"/>
  <c r="AI32" i="94"/>
  <c r="J33" i="94"/>
  <c r="K33" i="94"/>
  <c r="S33" i="94"/>
  <c r="T33" i="94"/>
  <c r="U33" i="94"/>
  <c r="W33" i="94"/>
  <c r="X33" i="94"/>
  <c r="Y33" i="94"/>
  <c r="Z33" i="94"/>
  <c r="AB33" i="94"/>
  <c r="AC33" i="94"/>
  <c r="AD33" i="94"/>
  <c r="AE33" i="94"/>
  <c r="AF33" i="94"/>
  <c r="AG33" i="94"/>
  <c r="AH33" i="94"/>
  <c r="AI33" i="94"/>
  <c r="J34" i="94"/>
  <c r="K34" i="94"/>
  <c r="S34" i="94"/>
  <c r="T34" i="94"/>
  <c r="U34" i="94"/>
  <c r="W34" i="94"/>
  <c r="X34" i="94"/>
  <c r="Y34" i="94"/>
  <c r="Z34" i="94"/>
  <c r="AB34" i="94"/>
  <c r="AC34" i="94"/>
  <c r="AD34" i="94"/>
  <c r="AE34" i="94"/>
  <c r="AF34" i="94"/>
  <c r="AG34" i="94"/>
  <c r="AH34" i="94"/>
  <c r="AI34" i="94"/>
  <c r="J35" i="94"/>
  <c r="K35" i="94"/>
  <c r="J36" i="94"/>
  <c r="K36" i="94"/>
  <c r="S36" i="94"/>
  <c r="T36" i="94"/>
  <c r="U36" i="94"/>
  <c r="W36" i="94"/>
  <c r="X36" i="94"/>
  <c r="Y36" i="94"/>
  <c r="Z36" i="94"/>
  <c r="AB36" i="94"/>
  <c r="AC36" i="94"/>
  <c r="AD36" i="94"/>
  <c r="AE36" i="94"/>
  <c r="AF36" i="94"/>
  <c r="AG36" i="94"/>
  <c r="AH36" i="94"/>
  <c r="AI36" i="94"/>
  <c r="J37" i="94"/>
  <c r="K37" i="94"/>
  <c r="S37" i="94"/>
  <c r="T37" i="94"/>
  <c r="U37" i="94"/>
  <c r="W37" i="94"/>
  <c r="X37" i="94"/>
  <c r="Y37" i="94"/>
  <c r="Z37" i="94"/>
  <c r="AB37" i="94"/>
  <c r="AC37" i="94"/>
  <c r="AD37" i="94"/>
  <c r="AE37" i="94"/>
  <c r="AF37" i="94"/>
  <c r="AG37" i="94"/>
  <c r="AH37" i="94"/>
  <c r="AI37" i="94"/>
  <c r="S38" i="94"/>
  <c r="T38" i="94"/>
  <c r="U38" i="94"/>
  <c r="W38" i="94"/>
  <c r="X38" i="94"/>
  <c r="Y38" i="94"/>
  <c r="Z38" i="94"/>
  <c r="AB38" i="94"/>
  <c r="AC38" i="94"/>
  <c r="AD38" i="94"/>
  <c r="AE38" i="94"/>
  <c r="AF38" i="94"/>
  <c r="AG38" i="94"/>
  <c r="AH38" i="94"/>
  <c r="AI38" i="94"/>
  <c r="S39" i="94"/>
  <c r="T39" i="94"/>
  <c r="U39" i="94"/>
  <c r="W39" i="94"/>
  <c r="X39" i="94"/>
  <c r="Y39" i="94"/>
  <c r="Z39" i="94"/>
  <c r="AB39" i="94"/>
  <c r="AC39" i="94"/>
  <c r="AD39" i="94"/>
  <c r="AE39" i="94"/>
  <c r="AF39" i="94"/>
  <c r="AG39" i="94"/>
  <c r="AH39" i="94"/>
  <c r="AI39" i="94"/>
  <c r="K43" i="94"/>
  <c r="V43" i="94"/>
  <c r="K44" i="94"/>
  <c r="V44" i="94"/>
  <c r="K45" i="94"/>
  <c r="V45" i="94"/>
  <c r="K46" i="94"/>
  <c r="K47" i="94"/>
  <c r="R48" i="94"/>
  <c r="J49" i="94"/>
  <c r="R49" i="94"/>
  <c r="R51" i="94"/>
  <c r="Y63" i="94"/>
  <c r="Z63" i="94"/>
  <c r="Y64" i="94"/>
  <c r="Z64" i="94"/>
  <c r="Y65" i="94"/>
  <c r="Z65" i="94"/>
  <c r="Y66" i="94"/>
  <c r="Z66" i="94"/>
  <c r="Y67" i="94"/>
  <c r="Z67" i="94"/>
  <c r="E27" i="71"/>
  <c r="E28"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 Poole</author>
    <author>Jackie Davis</author>
  </authors>
  <commentList>
    <comment ref="B12" authorId="0" shapeId="0" xr:uid="{B3896B0E-03FD-4020-9683-27F1C809B6C8}">
      <text>
        <r>
          <rPr>
            <b/>
            <sz val="9"/>
            <color indexed="81"/>
            <rFont val="Tahoma"/>
            <family val="2"/>
          </rPr>
          <t>Randy Poole:</t>
        </r>
        <r>
          <rPr>
            <sz val="9"/>
            <color indexed="81"/>
            <rFont val="Tahoma"/>
            <family val="2"/>
          </rPr>
          <t xml:space="preserve">
Michael confirmed this grouping is accurate to use</t>
        </r>
      </text>
    </comment>
    <comment ref="C20" authorId="1" shapeId="0" xr:uid="{B431BFDD-C9E6-406C-9BD9-3D804AC398AE}">
      <text>
        <r>
          <rPr>
            <b/>
            <sz val="9"/>
            <color indexed="81"/>
            <rFont val="Tahoma"/>
            <family val="2"/>
          </rPr>
          <t>Jackie Davis:</t>
        </r>
        <r>
          <rPr>
            <sz val="9"/>
            <color indexed="81"/>
            <rFont val="Tahoma"/>
            <family val="2"/>
          </rPr>
          <t xml:space="preserve">
we had this as unregulated on ann report
</t>
        </r>
        <r>
          <rPr>
            <b/>
            <sz val="9"/>
            <color indexed="81"/>
            <rFont val="Tahoma"/>
            <family val="2"/>
          </rPr>
          <t>RTP:</t>
        </r>
        <r>
          <rPr>
            <sz val="9"/>
            <color indexed="81"/>
            <rFont val="Tahoma"/>
            <family val="2"/>
          </rPr>
          <t xml:space="preserve"> Fixed</t>
        </r>
      </text>
    </comment>
    <comment ref="C21" authorId="1" shapeId="0" xr:uid="{D16A2BA3-394A-4137-B111-57E7A483AD98}">
      <text>
        <r>
          <rPr>
            <b/>
            <sz val="9"/>
            <color indexed="81"/>
            <rFont val="Tahoma"/>
            <family val="2"/>
          </rPr>
          <t>Jackie Davis:</t>
        </r>
        <r>
          <rPr>
            <sz val="9"/>
            <color indexed="81"/>
            <rFont val="Tahoma"/>
            <family val="2"/>
          </rPr>
          <t xml:space="preserve">
this looks like recycling commodity sales? Would be non regulated also. On Randy's split between collection and sales but it's confusing
</t>
        </r>
        <r>
          <rPr>
            <b/>
            <sz val="9"/>
            <color indexed="81"/>
            <rFont val="Tahoma"/>
            <family val="2"/>
          </rPr>
          <t>RTP:</t>
        </r>
        <r>
          <rPr>
            <sz val="9"/>
            <color indexed="81"/>
            <rFont val="Tahoma"/>
            <family val="2"/>
          </rPr>
          <t xml:space="preserve"> Agreed on non-regulated per the annual report</t>
        </r>
      </text>
    </comment>
    <comment ref="C23" authorId="1" shapeId="0" xr:uid="{AE92A4B3-1104-42A5-8692-5B921FCC8E3E}">
      <text>
        <r>
          <rPr>
            <b/>
            <sz val="9"/>
            <color indexed="81"/>
            <rFont val="Tahoma"/>
            <family val="2"/>
          </rPr>
          <t>Jackie Davis:</t>
        </r>
        <r>
          <rPr>
            <sz val="9"/>
            <color indexed="81"/>
            <rFont val="Tahoma"/>
            <family val="2"/>
          </rPr>
          <t xml:space="preserve">
split or ask
</t>
        </r>
        <r>
          <rPr>
            <b/>
            <sz val="9"/>
            <color indexed="81"/>
            <rFont val="Tahoma"/>
            <family val="2"/>
          </rPr>
          <t>RTP:</t>
        </r>
        <r>
          <rPr>
            <sz val="9"/>
            <color indexed="81"/>
            <rFont val="Tahoma"/>
            <family val="2"/>
          </rPr>
          <t xml:space="preserve"> split per annual rpt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H220" authorId="0" shapeId="0" xr:uid="{C81F4F61-F753-4269-92C6-A2EFC64A8211}">
      <text>
        <r>
          <rPr>
            <b/>
            <sz val="9"/>
            <color indexed="81"/>
            <rFont val="Tahoma"/>
            <family val="2"/>
          </rPr>
          <t>Logan Davis:</t>
        </r>
        <r>
          <rPr>
            <sz val="9"/>
            <color indexed="81"/>
            <rFont val="Tahoma"/>
            <family val="2"/>
          </rPr>
          <t xml:space="preserve">
Life from prior rate case</t>
        </r>
      </text>
    </comment>
    <comment ref="H221" authorId="0" shapeId="0" xr:uid="{EF5ED639-F881-4FA8-93D0-65E1A6C190ED}">
      <text>
        <r>
          <rPr>
            <b/>
            <sz val="9"/>
            <color indexed="81"/>
            <rFont val="Tahoma"/>
            <family val="2"/>
          </rPr>
          <t>Logan Davis:</t>
        </r>
        <r>
          <rPr>
            <sz val="9"/>
            <color indexed="81"/>
            <rFont val="Tahoma"/>
            <family val="2"/>
          </rPr>
          <t xml:space="preserve">
Life from prior rate case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Randy Poole</author>
  </authors>
  <commentList>
    <comment ref="AB8" authorId="0" shapeId="0" xr:uid="{AF8C4AD1-EDE3-4B48-9965-805C4250FCFE}">
      <text>
        <r>
          <rPr>
            <b/>
            <sz val="9"/>
            <color indexed="81"/>
            <rFont val="Tahoma"/>
            <family val="2"/>
          </rPr>
          <t>Randy Poole:</t>
        </r>
        <r>
          <rPr>
            <sz val="9"/>
            <color indexed="81"/>
            <rFont val="Tahoma"/>
            <family val="2"/>
          </rPr>
          <t xml:space="preserve">
No payroll summary in QB
…
All pr thru BBSI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Logan Davis</author>
    <author>bd accountant2</author>
  </authors>
  <commentList>
    <comment ref="E7" authorId="0" shapeId="0" xr:uid="{2E2AD02C-21FB-46A6-9E2C-2C1BBC537FE9}">
      <text>
        <r>
          <rPr>
            <b/>
            <sz val="9"/>
            <color indexed="81"/>
            <rFont val="Tahoma"/>
            <family val="2"/>
          </rPr>
          <t>Logan Davis:</t>
        </r>
        <r>
          <rPr>
            <sz val="9"/>
            <color indexed="81"/>
            <rFont val="Tahoma"/>
            <family val="2"/>
          </rPr>
          <t xml:space="preserve">
Pay increase effective date added as comment represents the pay date that the rate changed. Payroll is every two weeks, so the 4/15 and 4/16 pay increases were applied to hours worked beginning 4/1.  </t>
        </r>
      </text>
    </comment>
    <comment ref="D14" authorId="1" shapeId="0" xr:uid="{4816CC74-64AA-44A7-B3D9-07063A33FD8B}">
      <text>
        <r>
          <rPr>
            <b/>
            <sz val="9"/>
            <color indexed="81"/>
            <rFont val="Tahoma"/>
            <family val="2"/>
          </rPr>
          <t>bd accountant2:</t>
        </r>
        <r>
          <rPr>
            <sz val="9"/>
            <color indexed="81"/>
            <rFont val="Tahoma"/>
            <family val="2"/>
          </rPr>
          <t xml:space="preserve">
first pauroll 4/21/24</t>
        </r>
      </text>
    </comment>
    <comment ref="E15" authorId="0" shapeId="0" xr:uid="{A4336753-6070-46F8-9114-A17E38A09495}">
      <text>
        <r>
          <rPr>
            <b/>
            <sz val="9"/>
            <color indexed="81"/>
            <rFont val="Tahoma"/>
            <family val="2"/>
          </rPr>
          <t>Logan Davis:</t>
        </r>
        <r>
          <rPr>
            <sz val="9"/>
            <color indexed="81"/>
            <rFont val="Tahoma"/>
            <family val="2"/>
          </rPr>
          <t xml:space="preserve">
04/14/2023
</t>
        </r>
      </text>
    </comment>
    <comment ref="G15" authorId="0" shapeId="0" xr:uid="{749D702A-09C3-4107-B93E-C086E190C02C}">
      <text>
        <r>
          <rPr>
            <b/>
            <sz val="9"/>
            <color indexed="81"/>
            <rFont val="Tahoma"/>
            <family val="2"/>
          </rPr>
          <t>Logan Davis:</t>
        </r>
        <r>
          <rPr>
            <sz val="9"/>
            <color indexed="81"/>
            <rFont val="Tahoma"/>
            <family val="2"/>
          </rPr>
          <t xml:space="preserve">
04/12/2024</t>
        </r>
      </text>
    </comment>
    <comment ref="E17" authorId="1" shapeId="0" xr:uid="{489F745D-52A1-4561-B7E8-D23C9ED5C0F7}">
      <text>
        <r>
          <rPr>
            <b/>
            <sz val="9"/>
            <color indexed="81"/>
            <rFont val="Tahoma"/>
            <family val="2"/>
          </rPr>
          <t>bd accountant2:</t>
        </r>
        <r>
          <rPr>
            <sz val="9"/>
            <color indexed="81"/>
            <rFont val="Tahoma"/>
            <family val="2"/>
          </rPr>
          <t xml:space="preserve">
4/14/2023</t>
        </r>
      </text>
    </comment>
    <comment ref="G17" authorId="1" shapeId="0" xr:uid="{81C33B40-FBB8-40C0-9CCD-8372C30FA45C}">
      <text>
        <r>
          <rPr>
            <b/>
            <sz val="9"/>
            <color indexed="81"/>
            <rFont val="Tahoma"/>
            <family val="2"/>
          </rPr>
          <t>bd accountant2:</t>
        </r>
        <r>
          <rPr>
            <sz val="9"/>
            <color indexed="81"/>
            <rFont val="Tahoma"/>
            <family val="2"/>
          </rPr>
          <t xml:space="preserve">
4/12/2024</t>
        </r>
      </text>
    </comment>
    <comment ref="E18" authorId="1" shapeId="0" xr:uid="{E113012B-FC73-4B45-8B03-FEEC30C38BE9}">
      <text>
        <r>
          <rPr>
            <b/>
            <sz val="9"/>
            <color indexed="81"/>
            <rFont val="Tahoma"/>
            <family val="2"/>
          </rPr>
          <t>bd accountant2:</t>
        </r>
        <r>
          <rPr>
            <sz val="9"/>
            <color indexed="81"/>
            <rFont val="Tahoma"/>
            <family val="2"/>
          </rPr>
          <t xml:space="preserve">
4/14/2023</t>
        </r>
      </text>
    </comment>
    <comment ref="F18" authorId="1" shapeId="0" xr:uid="{5DD69647-2CEE-40F6-989F-3D5606A3FB07}">
      <text>
        <r>
          <rPr>
            <b/>
            <sz val="9"/>
            <color indexed="81"/>
            <rFont val="Tahoma"/>
            <family val="2"/>
          </rPr>
          <t>bd accountant2:</t>
        </r>
        <r>
          <rPr>
            <sz val="9"/>
            <color indexed="81"/>
            <rFont val="Tahoma"/>
            <family val="2"/>
          </rPr>
          <t xml:space="preserve">
1/19/2024</t>
        </r>
      </text>
    </comment>
    <comment ref="G18" authorId="1" shapeId="0" xr:uid="{F1520C86-5389-4E6A-B56C-E25E507C8A0B}">
      <text>
        <r>
          <rPr>
            <b/>
            <sz val="9"/>
            <color indexed="81"/>
            <rFont val="Tahoma"/>
            <family val="2"/>
          </rPr>
          <t>bd accountant2:</t>
        </r>
        <r>
          <rPr>
            <sz val="9"/>
            <color indexed="81"/>
            <rFont val="Tahoma"/>
            <family val="2"/>
          </rPr>
          <t xml:space="preserve">
4/12/2024</t>
        </r>
      </text>
    </comment>
    <comment ref="E19" authorId="1" shapeId="0" xr:uid="{351A014A-ADF5-4AFC-B53A-8AD826E931AB}">
      <text>
        <r>
          <rPr>
            <b/>
            <sz val="9"/>
            <color indexed="81"/>
            <rFont val="Tahoma"/>
            <family val="2"/>
          </rPr>
          <t>bd accountant2:</t>
        </r>
        <r>
          <rPr>
            <sz val="9"/>
            <color indexed="81"/>
            <rFont val="Tahoma"/>
            <family val="2"/>
          </rPr>
          <t xml:space="preserve">
4/14/2023</t>
        </r>
      </text>
    </comment>
    <comment ref="G19" authorId="1" shapeId="0" xr:uid="{072C8662-8CE9-4EB9-B8CF-D7C821AD9E9E}">
      <text>
        <r>
          <rPr>
            <b/>
            <sz val="9"/>
            <color indexed="81"/>
            <rFont val="Tahoma"/>
            <family val="2"/>
          </rPr>
          <t>bd accountant2:</t>
        </r>
        <r>
          <rPr>
            <sz val="9"/>
            <color indexed="81"/>
            <rFont val="Tahoma"/>
            <family val="2"/>
          </rPr>
          <t xml:space="preserve">
4/12/2024</t>
        </r>
      </text>
    </comment>
    <comment ref="E20" authorId="1" shapeId="0" xr:uid="{31ACD05A-3D58-4A4A-8033-FB92E3AB9D53}">
      <text>
        <r>
          <rPr>
            <b/>
            <sz val="9"/>
            <color indexed="81"/>
            <rFont val="Tahoma"/>
            <family val="2"/>
          </rPr>
          <t>bd accountant2:</t>
        </r>
        <r>
          <rPr>
            <sz val="9"/>
            <color indexed="81"/>
            <rFont val="Tahoma"/>
            <family val="2"/>
          </rPr>
          <t xml:space="preserve">
4/14/2023</t>
        </r>
      </text>
    </comment>
    <comment ref="G20" authorId="1" shapeId="0" xr:uid="{C57C7FEF-AFD4-4410-BB6F-FFDC3D506618}">
      <text>
        <r>
          <rPr>
            <b/>
            <sz val="9"/>
            <color indexed="81"/>
            <rFont val="Tahoma"/>
            <family val="2"/>
          </rPr>
          <t>bd accountant2:</t>
        </r>
        <r>
          <rPr>
            <sz val="9"/>
            <color indexed="81"/>
            <rFont val="Tahoma"/>
            <family val="2"/>
          </rPr>
          <t xml:space="preserve">
4/12/2024</t>
        </r>
      </text>
    </comment>
    <comment ref="E21" authorId="1" shapeId="0" xr:uid="{B64499A0-2A8F-4AB9-B031-794575BCE9DE}">
      <text>
        <r>
          <rPr>
            <b/>
            <sz val="9"/>
            <color indexed="81"/>
            <rFont val="Tahoma"/>
            <family val="2"/>
          </rPr>
          <t>bd accountant2:</t>
        </r>
        <r>
          <rPr>
            <sz val="9"/>
            <color indexed="81"/>
            <rFont val="Tahoma"/>
            <family val="2"/>
          </rPr>
          <t xml:space="preserve">
4/14/2023</t>
        </r>
      </text>
    </comment>
    <comment ref="G21" authorId="1" shapeId="0" xr:uid="{F7483827-0E71-4C21-86BF-7B6432F2E93F}">
      <text>
        <r>
          <rPr>
            <b/>
            <sz val="9"/>
            <color indexed="81"/>
            <rFont val="Tahoma"/>
            <family val="2"/>
          </rPr>
          <t>bd accountant2:</t>
        </r>
        <r>
          <rPr>
            <sz val="9"/>
            <color indexed="81"/>
            <rFont val="Tahoma"/>
            <family val="2"/>
          </rPr>
          <t xml:space="preserve">
4/12/2024</t>
        </r>
      </text>
    </comment>
    <comment ref="E25" authorId="1" shapeId="0" xr:uid="{8B655325-2F64-4B86-A515-22AE910E9902}">
      <text>
        <r>
          <rPr>
            <b/>
            <sz val="9"/>
            <color indexed="81"/>
            <rFont val="Tahoma"/>
            <family val="2"/>
          </rPr>
          <t>bd accountant2:</t>
        </r>
        <r>
          <rPr>
            <sz val="9"/>
            <color indexed="81"/>
            <rFont val="Tahoma"/>
            <family val="2"/>
          </rPr>
          <t xml:space="preserve">
4/14/2023</t>
        </r>
      </text>
    </comment>
    <comment ref="G25" authorId="1" shapeId="0" xr:uid="{17D11AED-4CDE-498E-B4C5-80DE655312CD}">
      <text>
        <r>
          <rPr>
            <b/>
            <sz val="9"/>
            <color indexed="81"/>
            <rFont val="Tahoma"/>
            <family val="2"/>
          </rPr>
          <t>bd accountant2:</t>
        </r>
        <r>
          <rPr>
            <sz val="9"/>
            <color indexed="81"/>
            <rFont val="Tahoma"/>
            <family val="2"/>
          </rPr>
          <t xml:space="preserve">
4/12/2024</t>
        </r>
      </text>
    </comment>
    <comment ref="E26" authorId="1" shapeId="0" xr:uid="{A1443E4B-97A5-459B-B9CA-0A922576E9BC}">
      <text>
        <r>
          <rPr>
            <b/>
            <sz val="9"/>
            <color indexed="81"/>
            <rFont val="Tahoma"/>
            <family val="2"/>
          </rPr>
          <t>bd accountant2:</t>
        </r>
        <r>
          <rPr>
            <sz val="9"/>
            <color indexed="81"/>
            <rFont val="Tahoma"/>
            <family val="2"/>
          </rPr>
          <t xml:space="preserve">
4/14/2023</t>
        </r>
      </text>
    </comment>
    <comment ref="G26" authorId="1" shapeId="0" xr:uid="{4E4D3AAB-DAA0-40FA-915D-2F752585AEBB}">
      <text>
        <r>
          <rPr>
            <b/>
            <sz val="9"/>
            <color indexed="81"/>
            <rFont val="Tahoma"/>
            <family val="2"/>
          </rPr>
          <t>bd accountant2:</t>
        </r>
        <r>
          <rPr>
            <sz val="9"/>
            <color indexed="81"/>
            <rFont val="Tahoma"/>
            <family val="2"/>
          </rPr>
          <t xml:space="preserve">
4/12/2024</t>
        </r>
      </text>
    </comment>
    <comment ref="E29" authorId="0" shapeId="0" xr:uid="{B1DEAC03-6EA9-476F-8D68-2EB069608E6E}">
      <text>
        <r>
          <rPr>
            <b/>
            <sz val="9"/>
            <color indexed="81"/>
            <rFont val="Tahoma"/>
            <family val="2"/>
          </rPr>
          <t>Logan Davis:</t>
        </r>
        <r>
          <rPr>
            <sz val="9"/>
            <color indexed="81"/>
            <rFont val="Tahoma"/>
            <family val="2"/>
          </rPr>
          <t xml:space="preserve">
4/9/2023
</t>
        </r>
      </text>
    </comment>
    <comment ref="G29" authorId="0" shapeId="0" xr:uid="{771A25CE-6C68-4C65-A32B-FAD2358CC413}">
      <text>
        <r>
          <rPr>
            <b/>
            <sz val="9"/>
            <color indexed="81"/>
            <rFont val="Tahoma"/>
            <family val="2"/>
          </rPr>
          <t>Logan Davis:</t>
        </r>
        <r>
          <rPr>
            <sz val="9"/>
            <color indexed="81"/>
            <rFont val="Tahoma"/>
            <family val="2"/>
          </rPr>
          <t xml:space="preserve">
4/7/2024</t>
        </r>
      </text>
    </comment>
    <comment ref="E30" authorId="1" shapeId="0" xr:uid="{4FED3F91-B317-42E1-A6CA-BFD25ABC7C37}">
      <text>
        <r>
          <rPr>
            <b/>
            <sz val="9"/>
            <color indexed="81"/>
            <rFont val="Tahoma"/>
            <family val="2"/>
          </rPr>
          <t>bd accountant2:</t>
        </r>
        <r>
          <rPr>
            <sz val="9"/>
            <color indexed="81"/>
            <rFont val="Tahoma"/>
            <family val="2"/>
          </rPr>
          <t xml:space="preserve">
4/14/2023</t>
        </r>
      </text>
    </comment>
    <comment ref="F30" authorId="1" shapeId="0" xr:uid="{553DA7E7-0A2D-4F73-8A22-768753E47EA8}">
      <text>
        <r>
          <rPr>
            <b/>
            <sz val="9"/>
            <color indexed="81"/>
            <rFont val="Tahoma"/>
            <family val="2"/>
          </rPr>
          <t>bd accountant2:</t>
        </r>
        <r>
          <rPr>
            <sz val="9"/>
            <color indexed="81"/>
            <rFont val="Tahoma"/>
            <family val="2"/>
          </rPr>
          <t xml:space="preserve">
4/28/2023</t>
        </r>
      </text>
    </comment>
    <comment ref="G30" authorId="1" shapeId="0" xr:uid="{011D8317-FD33-4F27-A206-4EDB9C69D17B}">
      <text>
        <r>
          <rPr>
            <b/>
            <sz val="9"/>
            <color indexed="81"/>
            <rFont val="Tahoma"/>
            <family val="2"/>
          </rPr>
          <t>bd accountant2:
5/10</t>
        </r>
        <r>
          <rPr>
            <sz val="9"/>
            <color indexed="81"/>
            <rFont val="Tahoma"/>
            <family val="2"/>
          </rPr>
          <t>/2024</t>
        </r>
      </text>
    </comment>
    <comment ref="E31" authorId="1" shapeId="0" xr:uid="{3FAB3288-F998-4B0D-A045-E6A014F70E95}">
      <text>
        <r>
          <rPr>
            <b/>
            <sz val="9"/>
            <color indexed="81"/>
            <rFont val="Tahoma"/>
            <family val="2"/>
          </rPr>
          <t>bd accountant2:</t>
        </r>
        <r>
          <rPr>
            <sz val="9"/>
            <color indexed="81"/>
            <rFont val="Tahoma"/>
            <family val="2"/>
          </rPr>
          <t xml:space="preserve">
04/14/2023</t>
        </r>
      </text>
    </comment>
    <comment ref="G31" authorId="1" shapeId="0" xr:uid="{F85C2EE4-46C2-4C0E-91BB-5A771ECDFE3C}">
      <text>
        <r>
          <rPr>
            <b/>
            <sz val="9"/>
            <color indexed="81"/>
            <rFont val="Tahoma"/>
            <family val="2"/>
          </rPr>
          <t>bd accountant2:</t>
        </r>
        <r>
          <rPr>
            <sz val="9"/>
            <color indexed="81"/>
            <rFont val="Tahoma"/>
            <family val="2"/>
          </rPr>
          <t xml:space="preserve">
4/12/2024</t>
        </r>
      </text>
    </comment>
    <comment ref="E32" authorId="1" shapeId="0" xr:uid="{02372627-DC4C-4F72-B286-EF7B96997BD1}">
      <text>
        <r>
          <rPr>
            <b/>
            <sz val="9"/>
            <color indexed="81"/>
            <rFont val="Tahoma"/>
            <family val="2"/>
          </rPr>
          <t>bd accountant2:</t>
        </r>
        <r>
          <rPr>
            <sz val="9"/>
            <color indexed="81"/>
            <rFont val="Tahoma"/>
            <family val="2"/>
          </rPr>
          <t xml:space="preserve">
4/14/2023</t>
        </r>
      </text>
    </comment>
    <comment ref="G32" authorId="1" shapeId="0" xr:uid="{8EDA9EF1-21E8-491E-A739-36B0E8828B4A}">
      <text>
        <r>
          <rPr>
            <b/>
            <sz val="9"/>
            <color indexed="81"/>
            <rFont val="Tahoma"/>
            <family val="2"/>
          </rPr>
          <t>bd accountant2:</t>
        </r>
        <r>
          <rPr>
            <sz val="9"/>
            <color indexed="81"/>
            <rFont val="Tahoma"/>
            <family val="2"/>
          </rPr>
          <t xml:space="preserve">
4/12/2024</t>
        </r>
      </text>
    </comment>
    <comment ref="E33" authorId="1" shapeId="0" xr:uid="{DF268453-FDAA-436B-BEFF-1E91027CE06F}">
      <text>
        <r>
          <rPr>
            <b/>
            <sz val="9"/>
            <color indexed="81"/>
            <rFont val="Tahoma"/>
            <family val="2"/>
          </rPr>
          <t>bd accountant2:</t>
        </r>
        <r>
          <rPr>
            <sz val="9"/>
            <color indexed="81"/>
            <rFont val="Tahoma"/>
            <family val="2"/>
          </rPr>
          <t xml:space="preserve">
4/14/2023</t>
        </r>
      </text>
    </comment>
    <comment ref="G33" authorId="1" shapeId="0" xr:uid="{D584BE9B-F097-434A-8B13-20688C498926}">
      <text>
        <r>
          <rPr>
            <b/>
            <sz val="9"/>
            <color indexed="81"/>
            <rFont val="Tahoma"/>
            <family val="2"/>
          </rPr>
          <t>bd accountant2:</t>
        </r>
        <r>
          <rPr>
            <sz val="9"/>
            <color indexed="81"/>
            <rFont val="Tahoma"/>
            <family val="2"/>
          </rPr>
          <t xml:space="preserve">
4/12/2024</t>
        </r>
      </text>
    </comment>
    <comment ref="E34" authorId="1" shapeId="0" xr:uid="{42A2F6B4-DA50-4B95-9ED2-3E9B25B44E11}">
      <text>
        <r>
          <rPr>
            <b/>
            <sz val="9"/>
            <color indexed="81"/>
            <rFont val="Tahoma"/>
            <family val="2"/>
          </rPr>
          <t>bd accountant2:</t>
        </r>
        <r>
          <rPr>
            <sz val="9"/>
            <color indexed="81"/>
            <rFont val="Tahoma"/>
            <family val="2"/>
          </rPr>
          <t xml:space="preserve">
4/14/2023</t>
        </r>
      </text>
    </comment>
    <comment ref="G34" authorId="1" shapeId="0" xr:uid="{059A660E-CD45-4F1C-AADF-3358C0CE73C0}">
      <text>
        <r>
          <rPr>
            <b/>
            <sz val="9"/>
            <color indexed="81"/>
            <rFont val="Tahoma"/>
            <family val="2"/>
          </rPr>
          <t>bd accountant2:</t>
        </r>
        <r>
          <rPr>
            <sz val="9"/>
            <color indexed="81"/>
            <rFont val="Tahoma"/>
            <family val="2"/>
          </rPr>
          <t xml:space="preserve">
4/12/2024</t>
        </r>
      </text>
    </comment>
    <comment ref="E35" authorId="1" shapeId="0" xr:uid="{93E57C5E-DB6A-49D7-B517-9E4CB9223BCC}">
      <text>
        <r>
          <rPr>
            <b/>
            <sz val="9"/>
            <color indexed="81"/>
            <rFont val="Tahoma"/>
            <family val="2"/>
          </rPr>
          <t>bd accountant2:</t>
        </r>
        <r>
          <rPr>
            <sz val="9"/>
            <color indexed="81"/>
            <rFont val="Tahoma"/>
            <family val="2"/>
          </rPr>
          <t xml:space="preserve">
4/14/2023</t>
        </r>
      </text>
    </comment>
    <comment ref="F35" authorId="1" shapeId="0" xr:uid="{C2E40DB5-060B-4274-B762-8959BA579833}">
      <text>
        <r>
          <rPr>
            <b/>
            <sz val="9"/>
            <color indexed="81"/>
            <rFont val="Tahoma"/>
            <family val="2"/>
          </rPr>
          <t>bd accountant2:</t>
        </r>
        <r>
          <rPr>
            <sz val="9"/>
            <color indexed="81"/>
            <rFont val="Tahoma"/>
            <family val="2"/>
          </rPr>
          <t xml:space="preserve">
4/12/2024</t>
        </r>
      </text>
    </comment>
    <comment ref="G35" authorId="0" shapeId="0" xr:uid="{91AF1FA2-E112-4143-8CCC-72783AA5D0E5}">
      <text>
        <r>
          <rPr>
            <b/>
            <sz val="9"/>
            <color indexed="81"/>
            <rFont val="Tahoma"/>
            <family val="2"/>
          </rPr>
          <t>Logan Davis:</t>
        </r>
        <r>
          <rPr>
            <sz val="9"/>
            <color indexed="81"/>
            <rFont val="Tahoma"/>
            <family val="2"/>
          </rPr>
          <t xml:space="preserve">
5/10/2024
</t>
        </r>
      </text>
    </comment>
    <comment ref="E36" authorId="1" shapeId="0" xr:uid="{1EC32715-E747-4106-91D5-51279D1BF339}">
      <text>
        <r>
          <rPr>
            <b/>
            <sz val="9"/>
            <color indexed="81"/>
            <rFont val="Tahoma"/>
            <family val="2"/>
          </rPr>
          <t>bd accountant2:</t>
        </r>
        <r>
          <rPr>
            <sz val="9"/>
            <color indexed="81"/>
            <rFont val="Tahoma"/>
            <family val="2"/>
          </rPr>
          <t xml:space="preserve">
4/14/2023</t>
        </r>
      </text>
    </comment>
    <comment ref="F36" authorId="1" shapeId="0" xr:uid="{1224C1EB-6424-4F8D-BE53-8A8AD83216D5}">
      <text>
        <r>
          <rPr>
            <b/>
            <sz val="9"/>
            <color indexed="81"/>
            <rFont val="Tahoma"/>
            <family val="2"/>
          </rPr>
          <t>bd accountant2:</t>
        </r>
        <r>
          <rPr>
            <sz val="9"/>
            <color indexed="81"/>
            <rFont val="Tahoma"/>
            <family val="2"/>
          </rPr>
          <t xml:space="preserve">
4/12/2024</t>
        </r>
      </text>
    </comment>
    <comment ref="G36" authorId="0" shapeId="0" xr:uid="{7C69E31F-60CE-4FF4-A8B3-BD819CBB5126}">
      <text>
        <r>
          <rPr>
            <b/>
            <sz val="9"/>
            <color indexed="81"/>
            <rFont val="Tahoma"/>
            <family val="2"/>
          </rPr>
          <t>Logan Davis:</t>
        </r>
        <r>
          <rPr>
            <sz val="9"/>
            <color indexed="81"/>
            <rFont val="Tahoma"/>
            <family val="2"/>
          </rPr>
          <t xml:space="preserve">
07/19/2024</t>
        </r>
      </text>
    </comment>
    <comment ref="D37" authorId="0" shapeId="0" xr:uid="{E8C0CF6E-6164-4863-8E25-8221B7343B9B}">
      <text>
        <r>
          <rPr>
            <b/>
            <sz val="9"/>
            <color indexed="81"/>
            <rFont val="Tahoma"/>
            <family val="2"/>
          </rPr>
          <t>Logan Davis:</t>
        </r>
        <r>
          <rPr>
            <sz val="9"/>
            <color indexed="81"/>
            <rFont val="Tahoma"/>
            <family val="2"/>
          </rPr>
          <t xml:space="preserve">
First payroll 08/02/2024</t>
        </r>
      </text>
    </comment>
    <comment ref="E38" authorId="1" shapeId="0" xr:uid="{678F3152-2081-4760-A46D-928D3093019F}">
      <text>
        <r>
          <rPr>
            <b/>
            <sz val="9"/>
            <color indexed="81"/>
            <rFont val="Tahoma"/>
            <family val="2"/>
          </rPr>
          <t>bd accountant2:</t>
        </r>
        <r>
          <rPr>
            <sz val="9"/>
            <color indexed="81"/>
            <rFont val="Tahoma"/>
            <family val="2"/>
          </rPr>
          <t xml:space="preserve">
7/7/2023</t>
        </r>
      </text>
    </comment>
    <comment ref="F38" authorId="1" shapeId="0" xr:uid="{7CE6F5B0-1FB1-46B0-8ED8-C0D8542E347E}">
      <text>
        <r>
          <rPr>
            <b/>
            <sz val="9"/>
            <color indexed="81"/>
            <rFont val="Tahoma"/>
            <family val="2"/>
          </rPr>
          <t>bd accountant2:</t>
        </r>
        <r>
          <rPr>
            <sz val="9"/>
            <color indexed="81"/>
            <rFont val="Tahoma"/>
            <family val="2"/>
          </rPr>
          <t xml:space="preserve">
4/12/2024</t>
        </r>
      </text>
    </comment>
    <comment ref="G38" authorId="0" shapeId="0" xr:uid="{7940044F-20B6-424D-B687-DBFDF38871E8}">
      <text>
        <r>
          <rPr>
            <b/>
            <sz val="9"/>
            <color indexed="81"/>
            <rFont val="Tahoma"/>
            <family val="2"/>
          </rPr>
          <t>Logan Davis:</t>
        </r>
        <r>
          <rPr>
            <sz val="9"/>
            <color indexed="81"/>
            <rFont val="Tahoma"/>
            <family val="2"/>
          </rPr>
          <t xml:space="preserve">
08/02/2024</t>
        </r>
      </text>
    </comment>
    <comment ref="E39" authorId="1" shapeId="0" xr:uid="{E906F9EE-6AC4-43F6-88AE-BFC380E721C8}">
      <text>
        <r>
          <rPr>
            <b/>
            <sz val="9"/>
            <color indexed="81"/>
            <rFont val="Tahoma"/>
            <family val="2"/>
          </rPr>
          <t>bd accountant2:</t>
        </r>
        <r>
          <rPr>
            <sz val="9"/>
            <color indexed="81"/>
            <rFont val="Tahoma"/>
            <family val="2"/>
          </rPr>
          <t xml:space="preserve">
4/14/2023</t>
        </r>
      </text>
    </comment>
    <comment ref="G39" authorId="1" shapeId="0" xr:uid="{72D7168E-C893-4E5A-B9B3-F1FC6B8EEC02}">
      <text>
        <r>
          <rPr>
            <b/>
            <sz val="9"/>
            <color indexed="81"/>
            <rFont val="Tahoma"/>
            <family val="2"/>
          </rPr>
          <t>bd accountant2:</t>
        </r>
        <r>
          <rPr>
            <sz val="9"/>
            <color indexed="81"/>
            <rFont val="Tahoma"/>
            <family val="2"/>
          </rPr>
          <t xml:space="preserve">
4/12/2024</t>
        </r>
      </text>
    </comment>
    <comment ref="D40" authorId="1" shapeId="0" xr:uid="{B33AD017-C8BE-4B24-955A-427AF853BC63}">
      <text>
        <r>
          <rPr>
            <b/>
            <sz val="9"/>
            <color indexed="81"/>
            <rFont val="Tahoma"/>
            <family val="2"/>
          </rPr>
          <t>bd accountant2:</t>
        </r>
        <r>
          <rPr>
            <sz val="9"/>
            <color indexed="81"/>
            <rFont val="Tahoma"/>
            <family val="2"/>
          </rPr>
          <t xml:space="preserve">
last payroll 5/10/2024</t>
        </r>
      </text>
    </comment>
    <comment ref="E40" authorId="1" shapeId="0" xr:uid="{1CB94C11-3DC8-43D4-BC68-6BA423EEF075}">
      <text>
        <r>
          <rPr>
            <b/>
            <sz val="9"/>
            <color indexed="81"/>
            <rFont val="Tahoma"/>
            <family val="2"/>
          </rPr>
          <t>bd accountant2:</t>
        </r>
        <r>
          <rPr>
            <sz val="9"/>
            <color indexed="81"/>
            <rFont val="Tahoma"/>
            <family val="2"/>
          </rPr>
          <t xml:space="preserve">
4/14/2023</t>
        </r>
      </text>
    </comment>
    <comment ref="G40" authorId="1" shapeId="0" xr:uid="{5EE5A20F-6E09-4E32-82B3-BEB86A45ABBD}">
      <text>
        <r>
          <rPr>
            <b/>
            <sz val="9"/>
            <color indexed="81"/>
            <rFont val="Tahoma"/>
            <family val="2"/>
          </rPr>
          <t>bd accountant2:</t>
        </r>
        <r>
          <rPr>
            <sz val="9"/>
            <color indexed="81"/>
            <rFont val="Tahoma"/>
            <family val="2"/>
          </rPr>
          <t xml:space="preserve">
4/12/2024</t>
        </r>
      </text>
    </comment>
    <comment ref="E41" authorId="1" shapeId="0" xr:uid="{E06F5D6B-01B3-4E17-9D37-BCAA79D69F7A}">
      <text>
        <r>
          <rPr>
            <b/>
            <sz val="9"/>
            <color indexed="81"/>
            <rFont val="Tahoma"/>
            <family val="2"/>
          </rPr>
          <t>bd accountant2:</t>
        </r>
        <r>
          <rPr>
            <sz val="9"/>
            <color indexed="81"/>
            <rFont val="Tahoma"/>
            <family val="2"/>
          </rPr>
          <t xml:space="preserve">
4/14/2023</t>
        </r>
      </text>
    </comment>
    <comment ref="G41" authorId="1" shapeId="0" xr:uid="{79D722A9-F9A0-46F9-82ED-E4546B5A0530}">
      <text>
        <r>
          <rPr>
            <b/>
            <sz val="9"/>
            <color indexed="81"/>
            <rFont val="Tahoma"/>
            <family val="2"/>
          </rPr>
          <t>bd accountant2:</t>
        </r>
        <r>
          <rPr>
            <sz val="9"/>
            <color indexed="81"/>
            <rFont val="Tahoma"/>
            <family val="2"/>
          </rPr>
          <t xml:space="preserve">
4/12/2024</t>
        </r>
      </text>
    </comment>
    <comment ref="D42" authorId="1" shapeId="0" xr:uid="{218C25EE-6749-4E8B-A1CC-3B0AEC72FEB1}">
      <text>
        <r>
          <rPr>
            <b/>
            <sz val="9"/>
            <color indexed="81"/>
            <rFont val="Tahoma"/>
            <family val="2"/>
          </rPr>
          <t>bd accountant2:</t>
        </r>
        <r>
          <rPr>
            <sz val="9"/>
            <color indexed="81"/>
            <rFont val="Tahoma"/>
            <family val="2"/>
          </rPr>
          <t xml:space="preserve">
last payroll 6/23/2023</t>
        </r>
      </text>
    </comment>
    <comment ref="E42" authorId="1" shapeId="0" xr:uid="{22BCEA6C-709F-47D1-967F-02CF81856E12}">
      <text>
        <r>
          <rPr>
            <b/>
            <sz val="9"/>
            <color indexed="81"/>
            <rFont val="Tahoma"/>
            <family val="2"/>
          </rPr>
          <t>bd accountant2:</t>
        </r>
        <r>
          <rPr>
            <sz val="9"/>
            <color indexed="81"/>
            <rFont val="Tahoma"/>
            <family val="2"/>
          </rPr>
          <t xml:space="preserve">
4/14/2023</t>
        </r>
      </text>
    </comment>
    <comment ref="E43" authorId="1" shapeId="0" xr:uid="{B3B650C3-4400-48A1-8E77-5FA45006D1CA}">
      <text>
        <r>
          <rPr>
            <b/>
            <sz val="9"/>
            <color indexed="81"/>
            <rFont val="Tahoma"/>
            <family val="2"/>
          </rPr>
          <t>bd accountant2:</t>
        </r>
        <r>
          <rPr>
            <sz val="9"/>
            <color indexed="81"/>
            <rFont val="Tahoma"/>
            <family val="2"/>
          </rPr>
          <t xml:space="preserve">
4/14/2023</t>
        </r>
      </text>
    </comment>
    <comment ref="F43" authorId="1" shapeId="0" xr:uid="{8B53BEA0-10C4-4908-BE6A-0104B3A3365D}">
      <text>
        <r>
          <rPr>
            <b/>
            <sz val="9"/>
            <color indexed="81"/>
            <rFont val="Tahoma"/>
            <family val="2"/>
          </rPr>
          <t>bd accountant2:</t>
        </r>
        <r>
          <rPr>
            <sz val="9"/>
            <color indexed="81"/>
            <rFont val="Tahoma"/>
            <family val="2"/>
          </rPr>
          <t xml:space="preserve">
4/12/2024</t>
        </r>
      </text>
    </comment>
    <comment ref="G43" authorId="0" shapeId="0" xr:uid="{9E3224BF-010B-44E3-A924-15C41B7C9486}">
      <text>
        <r>
          <rPr>
            <b/>
            <sz val="9"/>
            <color indexed="81"/>
            <rFont val="Tahoma"/>
            <family val="2"/>
          </rPr>
          <t>Logan Davis:</t>
        </r>
        <r>
          <rPr>
            <sz val="9"/>
            <color indexed="81"/>
            <rFont val="Tahoma"/>
            <family val="2"/>
          </rPr>
          <t xml:space="preserve">
08/02/2024</t>
        </r>
      </text>
    </comment>
    <comment ref="E44" authorId="1" shapeId="0" xr:uid="{2C62164C-FE5A-4D15-A2D7-E875CB058674}">
      <text>
        <r>
          <rPr>
            <b/>
            <sz val="9"/>
            <color indexed="81"/>
            <rFont val="Tahoma"/>
            <family val="2"/>
          </rPr>
          <t>bd accountant2:</t>
        </r>
        <r>
          <rPr>
            <sz val="9"/>
            <color indexed="81"/>
            <rFont val="Tahoma"/>
            <family val="2"/>
          </rPr>
          <t xml:space="preserve">
4/14/2023</t>
        </r>
      </text>
    </comment>
    <comment ref="G44" authorId="1" shapeId="0" xr:uid="{7B299CD7-2AF3-49A7-BD68-B5D4C6A56D46}">
      <text>
        <r>
          <rPr>
            <b/>
            <sz val="9"/>
            <color indexed="81"/>
            <rFont val="Tahoma"/>
            <family val="2"/>
          </rPr>
          <t>bd accountant2:</t>
        </r>
        <r>
          <rPr>
            <sz val="9"/>
            <color indexed="81"/>
            <rFont val="Tahoma"/>
            <family val="2"/>
          </rPr>
          <t xml:space="preserve">
4/12/2024</t>
        </r>
      </text>
    </comment>
    <comment ref="E45" authorId="1" shapeId="0" xr:uid="{B0F076A4-4AD5-4FA5-A40F-32BD1309C38D}">
      <text>
        <r>
          <rPr>
            <b/>
            <sz val="9"/>
            <color indexed="81"/>
            <rFont val="Tahoma"/>
            <family val="2"/>
          </rPr>
          <t>bd accountant2:</t>
        </r>
        <r>
          <rPr>
            <sz val="9"/>
            <color indexed="81"/>
            <rFont val="Tahoma"/>
            <family val="2"/>
          </rPr>
          <t xml:space="preserve">
4/14/2023</t>
        </r>
      </text>
    </comment>
    <comment ref="G45" authorId="1" shapeId="0" xr:uid="{1C431641-5E66-42A3-B3DC-BC723642B2EE}">
      <text>
        <r>
          <rPr>
            <b/>
            <sz val="9"/>
            <color indexed="81"/>
            <rFont val="Tahoma"/>
            <family val="2"/>
          </rPr>
          <t>bd accountant2:</t>
        </r>
        <r>
          <rPr>
            <sz val="9"/>
            <color indexed="81"/>
            <rFont val="Tahoma"/>
            <family val="2"/>
          </rPr>
          <t xml:space="preserve">
4/12/2024</t>
        </r>
      </text>
    </comment>
    <comment ref="E46" authorId="1" shapeId="0" xr:uid="{DB4D468D-7962-4257-9903-D571E1A152D7}">
      <text>
        <r>
          <rPr>
            <b/>
            <sz val="9"/>
            <color indexed="81"/>
            <rFont val="Tahoma"/>
            <family val="2"/>
          </rPr>
          <t>bd accountant2:</t>
        </r>
        <r>
          <rPr>
            <sz val="9"/>
            <color indexed="81"/>
            <rFont val="Tahoma"/>
            <family val="2"/>
          </rPr>
          <t xml:space="preserve">
4/14/2023</t>
        </r>
      </text>
    </comment>
    <comment ref="G46" authorId="1" shapeId="0" xr:uid="{76963D5C-C003-4A5C-9B67-E3C2569C6AEF}">
      <text>
        <r>
          <rPr>
            <b/>
            <sz val="9"/>
            <color indexed="81"/>
            <rFont val="Tahoma"/>
            <family val="2"/>
          </rPr>
          <t>bd accountant2:</t>
        </r>
        <r>
          <rPr>
            <sz val="9"/>
            <color indexed="81"/>
            <rFont val="Tahoma"/>
            <family val="2"/>
          </rPr>
          <t xml:space="preserve">
4/12/2024</t>
        </r>
      </text>
    </comment>
    <comment ref="D47" authorId="1" shapeId="0" xr:uid="{6093A329-D817-4597-8D2F-63284759A6C7}">
      <text>
        <r>
          <rPr>
            <b/>
            <sz val="9"/>
            <color indexed="81"/>
            <rFont val="Tahoma"/>
            <family val="2"/>
          </rPr>
          <t>bd accountant2:</t>
        </r>
        <r>
          <rPr>
            <sz val="9"/>
            <color indexed="81"/>
            <rFont val="Tahoma"/>
            <family val="2"/>
          </rPr>
          <t xml:space="preserve">
start payroll 6/23/2023</t>
        </r>
      </text>
    </comment>
    <comment ref="E47" authorId="1" shapeId="0" xr:uid="{3D677AF5-1B55-472E-B070-E283A4A75B24}">
      <text>
        <r>
          <rPr>
            <b/>
            <sz val="9"/>
            <color indexed="81"/>
            <rFont val="Tahoma"/>
            <family val="2"/>
          </rPr>
          <t>bd accountant2:</t>
        </r>
        <r>
          <rPr>
            <sz val="9"/>
            <color indexed="81"/>
            <rFont val="Tahoma"/>
            <family val="2"/>
          </rPr>
          <t xml:space="preserve">
1/5/2024</t>
        </r>
      </text>
    </comment>
    <comment ref="G47" authorId="1" shapeId="0" xr:uid="{D7668DF0-D6AB-44D8-A513-C6DAA853E40C}">
      <text>
        <r>
          <rPr>
            <b/>
            <sz val="9"/>
            <color indexed="81"/>
            <rFont val="Tahoma"/>
            <family val="2"/>
          </rPr>
          <t>bd accountant2:</t>
        </r>
        <r>
          <rPr>
            <sz val="9"/>
            <color indexed="81"/>
            <rFont val="Tahoma"/>
            <family val="2"/>
          </rPr>
          <t xml:space="preserve">
4/12/2024</t>
        </r>
      </text>
    </comment>
    <comment ref="E48" authorId="1" shapeId="0" xr:uid="{A39C60E7-393F-436E-9A51-9955ED9AC3B3}">
      <text>
        <r>
          <rPr>
            <b/>
            <sz val="9"/>
            <color indexed="81"/>
            <rFont val="Tahoma"/>
            <family val="2"/>
          </rPr>
          <t>bd accountant2:</t>
        </r>
        <r>
          <rPr>
            <sz val="9"/>
            <color indexed="81"/>
            <rFont val="Tahoma"/>
            <family val="2"/>
          </rPr>
          <t xml:space="preserve">
4/14/2023</t>
        </r>
      </text>
    </comment>
    <comment ref="G48" authorId="1" shapeId="0" xr:uid="{6CB96233-A831-4A11-B0B4-7677D7CCA25C}">
      <text>
        <r>
          <rPr>
            <b/>
            <sz val="9"/>
            <color indexed="81"/>
            <rFont val="Tahoma"/>
            <family val="2"/>
          </rPr>
          <t>bd accountant2:</t>
        </r>
        <r>
          <rPr>
            <sz val="9"/>
            <color indexed="81"/>
            <rFont val="Tahoma"/>
            <family val="2"/>
          </rPr>
          <t xml:space="preserve">
4/12/2024</t>
        </r>
      </text>
    </comment>
    <comment ref="D49" authorId="1" shapeId="0" xr:uid="{59A19775-ACF5-480C-8A23-21D970070D99}">
      <text>
        <r>
          <rPr>
            <b/>
            <sz val="9"/>
            <color indexed="81"/>
            <rFont val="Tahoma"/>
            <family val="2"/>
          </rPr>
          <t>bd accountant2:
first</t>
        </r>
        <r>
          <rPr>
            <sz val="9"/>
            <color indexed="81"/>
            <rFont val="Tahoma"/>
            <family val="2"/>
          </rPr>
          <t xml:space="preserve"> payroll 9/15/2023</t>
        </r>
      </text>
    </comment>
    <comment ref="E49" authorId="1" shapeId="0" xr:uid="{560DC687-37E9-43E1-9462-176425CCB429}">
      <text>
        <r>
          <rPr>
            <b/>
            <sz val="9"/>
            <color indexed="81"/>
            <rFont val="Tahoma"/>
            <family val="2"/>
          </rPr>
          <t>bd accountant2:</t>
        </r>
        <r>
          <rPr>
            <sz val="9"/>
            <color indexed="81"/>
            <rFont val="Tahoma"/>
            <family val="2"/>
          </rPr>
          <t xml:space="preserve">
4/12/2024</t>
        </r>
      </text>
    </comment>
    <comment ref="G49" authorId="0" shapeId="0" xr:uid="{16B44265-91BB-4302-9F3B-128CB19D1312}">
      <text>
        <r>
          <rPr>
            <b/>
            <sz val="9"/>
            <color indexed="81"/>
            <rFont val="Tahoma"/>
            <family val="2"/>
          </rPr>
          <t>Logan Davis:</t>
        </r>
        <r>
          <rPr>
            <sz val="9"/>
            <color indexed="81"/>
            <rFont val="Tahoma"/>
            <family val="2"/>
          </rPr>
          <t xml:space="preserve">
08/02/2024</t>
        </r>
      </text>
    </comment>
    <comment ref="D50" authorId="1" shapeId="0" xr:uid="{CFD79947-3C29-4736-9BC2-E973AAECE74B}">
      <text>
        <r>
          <rPr>
            <b/>
            <sz val="9"/>
            <color indexed="81"/>
            <rFont val="Tahoma"/>
            <family val="2"/>
          </rPr>
          <t>bd accountant2:</t>
        </r>
        <r>
          <rPr>
            <sz val="9"/>
            <color indexed="81"/>
            <rFont val="Tahoma"/>
            <family val="2"/>
          </rPr>
          <t xml:space="preserve">
end payroll 11/23/2023</t>
        </r>
      </text>
    </comment>
    <comment ref="E50" authorId="1" shapeId="0" xr:uid="{EC1E22AC-71DB-4D03-83B0-738821C0CAA0}">
      <text>
        <r>
          <rPr>
            <b/>
            <sz val="9"/>
            <color indexed="81"/>
            <rFont val="Tahoma"/>
            <family val="2"/>
          </rPr>
          <t>bd accountant2:</t>
        </r>
        <r>
          <rPr>
            <sz val="9"/>
            <color indexed="81"/>
            <rFont val="Tahoma"/>
            <family val="2"/>
          </rPr>
          <t xml:space="preserve">
4/14/2023</t>
        </r>
      </text>
    </comment>
    <comment ref="E51" authorId="1" shapeId="0" xr:uid="{4DAE746D-9317-489C-9A11-91A4C680F040}">
      <text>
        <r>
          <rPr>
            <b/>
            <sz val="9"/>
            <color indexed="81"/>
            <rFont val="Tahoma"/>
            <family val="2"/>
          </rPr>
          <t>bd accountant2:</t>
        </r>
        <r>
          <rPr>
            <sz val="9"/>
            <color indexed="81"/>
            <rFont val="Tahoma"/>
            <family val="2"/>
          </rPr>
          <t xml:space="preserve">
4/14/2023</t>
        </r>
      </text>
    </comment>
    <comment ref="G51" authorId="1" shapeId="0" xr:uid="{B3961C43-5BC5-43D9-97D9-4321A0965BA3}">
      <text>
        <r>
          <rPr>
            <b/>
            <sz val="9"/>
            <color indexed="81"/>
            <rFont val="Tahoma"/>
            <family val="2"/>
          </rPr>
          <t>bd accountant2:</t>
        </r>
        <r>
          <rPr>
            <sz val="9"/>
            <color indexed="81"/>
            <rFont val="Tahoma"/>
            <family val="2"/>
          </rPr>
          <t xml:space="preserve">
4/12/2024</t>
        </r>
      </text>
    </comment>
    <comment ref="E52" authorId="1" shapeId="0" xr:uid="{5D71CD70-F679-4E4F-B6B4-116B46D4DDAC}">
      <text>
        <r>
          <rPr>
            <b/>
            <sz val="9"/>
            <color indexed="81"/>
            <rFont val="Tahoma"/>
            <family val="2"/>
          </rPr>
          <t>bd accountant2:</t>
        </r>
        <r>
          <rPr>
            <sz val="9"/>
            <color indexed="81"/>
            <rFont val="Tahoma"/>
            <family val="2"/>
          </rPr>
          <t xml:space="preserve">
4/14/2023</t>
        </r>
      </text>
    </comment>
    <comment ref="G52" authorId="1" shapeId="0" xr:uid="{8FF1F35B-D059-4AF1-A13A-470CB4214F70}">
      <text>
        <r>
          <rPr>
            <b/>
            <sz val="9"/>
            <color indexed="81"/>
            <rFont val="Tahoma"/>
            <family val="2"/>
          </rPr>
          <t>bd accountant2:</t>
        </r>
        <r>
          <rPr>
            <sz val="9"/>
            <color indexed="81"/>
            <rFont val="Tahoma"/>
            <family val="2"/>
          </rPr>
          <t xml:space="preserve">
4/12/2024</t>
        </r>
      </text>
    </comment>
    <comment ref="E53" authorId="1" shapeId="0" xr:uid="{B7633856-1382-4044-A5B7-A2E6C034A59A}">
      <text>
        <r>
          <rPr>
            <b/>
            <sz val="9"/>
            <color indexed="81"/>
            <rFont val="Tahoma"/>
            <family val="2"/>
          </rPr>
          <t>bd accountant2:</t>
        </r>
        <r>
          <rPr>
            <sz val="9"/>
            <color indexed="81"/>
            <rFont val="Tahoma"/>
            <family val="2"/>
          </rPr>
          <t xml:space="preserve">
4/14/2023</t>
        </r>
      </text>
    </comment>
    <comment ref="G53" authorId="1" shapeId="0" xr:uid="{B17DFFC1-60EE-4D3D-B837-A3C98C9F5A1F}">
      <text>
        <r>
          <rPr>
            <b/>
            <sz val="9"/>
            <color indexed="81"/>
            <rFont val="Tahoma"/>
            <family val="2"/>
          </rPr>
          <t>bd accountant2:</t>
        </r>
        <r>
          <rPr>
            <sz val="9"/>
            <color indexed="81"/>
            <rFont val="Tahoma"/>
            <family val="2"/>
          </rPr>
          <t xml:space="preserve">
4/12/2024</t>
        </r>
      </text>
    </comment>
    <comment ref="E54" authorId="1" shapeId="0" xr:uid="{DF3D5DE8-6832-4D64-897C-4DF7EDDB8EEC}">
      <text>
        <r>
          <rPr>
            <b/>
            <sz val="9"/>
            <color indexed="81"/>
            <rFont val="Tahoma"/>
            <family val="2"/>
          </rPr>
          <t>bd accountant2:</t>
        </r>
        <r>
          <rPr>
            <sz val="9"/>
            <color indexed="81"/>
            <rFont val="Tahoma"/>
            <family val="2"/>
          </rPr>
          <t xml:space="preserve">
4/14/2023</t>
        </r>
      </text>
    </comment>
    <comment ref="F54" authorId="1" shapeId="0" xr:uid="{C70966F7-4FDB-461B-86F4-66D2369C248F}">
      <text>
        <r>
          <rPr>
            <b/>
            <sz val="9"/>
            <color indexed="81"/>
            <rFont val="Tahoma"/>
            <family val="2"/>
          </rPr>
          <t>bd accountant2:</t>
        </r>
        <r>
          <rPr>
            <sz val="9"/>
            <color indexed="81"/>
            <rFont val="Tahoma"/>
            <family val="2"/>
          </rPr>
          <t xml:space="preserve">
4/12/2024</t>
        </r>
      </text>
    </comment>
    <comment ref="G54" authorId="0" shapeId="0" xr:uid="{7C45D9C9-F97E-454C-878B-CE51CD6AB688}">
      <text>
        <r>
          <rPr>
            <b/>
            <sz val="9"/>
            <color indexed="81"/>
            <rFont val="Tahoma"/>
            <family val="2"/>
          </rPr>
          <t>Logan Davis:</t>
        </r>
        <r>
          <rPr>
            <sz val="9"/>
            <color indexed="81"/>
            <rFont val="Tahoma"/>
            <family val="2"/>
          </rPr>
          <t xml:space="preserve">
08/02/2024</t>
        </r>
      </text>
    </comment>
    <comment ref="D55" authorId="1" shapeId="0" xr:uid="{A7014D96-AEAE-4303-B514-4F1120038320}">
      <text>
        <r>
          <rPr>
            <b/>
            <sz val="9"/>
            <color indexed="81"/>
            <rFont val="Tahoma"/>
            <family val="2"/>
          </rPr>
          <t>bd accountant2:</t>
        </r>
        <r>
          <rPr>
            <sz val="9"/>
            <color indexed="81"/>
            <rFont val="Tahoma"/>
            <family val="2"/>
          </rPr>
          <t xml:space="preserve">
last payroll 10/13/2023</t>
        </r>
      </text>
    </comment>
    <comment ref="E55" authorId="1" shapeId="0" xr:uid="{014D23BF-838B-4E5A-AA0D-C57F69516FEA}">
      <text>
        <r>
          <rPr>
            <b/>
            <sz val="9"/>
            <color indexed="81"/>
            <rFont val="Tahoma"/>
            <family val="2"/>
          </rPr>
          <t>bd accountant2:</t>
        </r>
        <r>
          <rPr>
            <sz val="9"/>
            <color indexed="81"/>
            <rFont val="Tahoma"/>
            <family val="2"/>
          </rPr>
          <t xml:space="preserve">
4/14/2023</t>
        </r>
      </text>
    </comment>
    <comment ref="E58" authorId="1" shapeId="0" xr:uid="{D1969427-6994-4429-B304-05F37689BB7A}">
      <text>
        <r>
          <rPr>
            <b/>
            <sz val="9"/>
            <color indexed="81"/>
            <rFont val="Tahoma"/>
            <family val="2"/>
          </rPr>
          <t>bd accountant2:</t>
        </r>
        <r>
          <rPr>
            <sz val="9"/>
            <color indexed="81"/>
            <rFont val="Tahoma"/>
            <family val="2"/>
          </rPr>
          <t xml:space="preserve">
4/9/2023</t>
        </r>
      </text>
    </comment>
    <comment ref="G58" authorId="0" shapeId="0" xr:uid="{42FCD109-48AB-43CE-8BAD-63F745F2D9C9}">
      <text>
        <r>
          <rPr>
            <b/>
            <sz val="9"/>
            <color indexed="81"/>
            <rFont val="Tahoma"/>
            <family val="2"/>
          </rPr>
          <t>Logan Davis:</t>
        </r>
        <r>
          <rPr>
            <sz val="9"/>
            <color indexed="81"/>
            <rFont val="Tahoma"/>
            <family val="2"/>
          </rPr>
          <t xml:space="preserve">
04/7/2024</t>
        </r>
      </text>
    </comment>
    <comment ref="E59" authorId="0" shapeId="0" xr:uid="{9A8D6166-1D24-4B65-9B6F-6A00E894F711}">
      <text>
        <r>
          <rPr>
            <b/>
            <sz val="9"/>
            <color indexed="81"/>
            <rFont val="Tahoma"/>
            <family val="2"/>
          </rPr>
          <t>Logan Davis:</t>
        </r>
        <r>
          <rPr>
            <sz val="9"/>
            <color indexed="81"/>
            <rFont val="Tahoma"/>
            <family val="2"/>
          </rPr>
          <t xml:space="preserve">
04/9/2023
</t>
        </r>
      </text>
    </comment>
    <comment ref="G59" authorId="0" shapeId="0" xr:uid="{6B087E0C-9DB7-4DCB-864F-46ECBE37D67B}">
      <text>
        <r>
          <rPr>
            <b/>
            <sz val="9"/>
            <color indexed="81"/>
            <rFont val="Tahoma"/>
            <family val="2"/>
          </rPr>
          <t>Logan Davis:</t>
        </r>
        <r>
          <rPr>
            <sz val="9"/>
            <color indexed="81"/>
            <rFont val="Tahoma"/>
            <family val="2"/>
          </rPr>
          <t xml:space="preserve">
04/7/2024</t>
        </r>
      </text>
    </comment>
    <comment ref="E60" authorId="0" shapeId="0" xr:uid="{4F988547-EAE0-4353-96BC-FE43141385C5}">
      <text>
        <r>
          <rPr>
            <b/>
            <sz val="9"/>
            <color indexed="81"/>
            <rFont val="Tahoma"/>
            <family val="2"/>
          </rPr>
          <t>Logan Davis:</t>
        </r>
        <r>
          <rPr>
            <sz val="9"/>
            <color indexed="81"/>
            <rFont val="Tahoma"/>
            <family val="2"/>
          </rPr>
          <t xml:space="preserve">
04/9/2023</t>
        </r>
      </text>
    </comment>
    <comment ref="G60" authorId="1" shapeId="0" xr:uid="{6B6D3809-5224-468B-BA71-241A22C8C604}">
      <text>
        <r>
          <rPr>
            <b/>
            <sz val="9"/>
            <color indexed="81"/>
            <rFont val="Tahoma"/>
            <family val="2"/>
          </rPr>
          <t>bd accountant2:</t>
        </r>
        <r>
          <rPr>
            <sz val="9"/>
            <color indexed="81"/>
            <rFont val="Tahoma"/>
            <family val="2"/>
          </rPr>
          <t xml:space="preserve">
4/7/2024</t>
        </r>
      </text>
    </comment>
    <comment ref="E61" authorId="1" shapeId="0" xr:uid="{875FC7D7-6136-43A1-A092-52D70496EBDB}">
      <text>
        <r>
          <rPr>
            <b/>
            <sz val="9"/>
            <color indexed="81"/>
            <rFont val="Tahoma"/>
            <family val="2"/>
          </rPr>
          <t>bd accountant2:</t>
        </r>
        <r>
          <rPr>
            <sz val="9"/>
            <color indexed="81"/>
            <rFont val="Tahoma"/>
            <family val="2"/>
          </rPr>
          <t xml:space="preserve">
4/14/2023</t>
        </r>
      </text>
    </comment>
    <comment ref="G61" authorId="1" shapeId="0" xr:uid="{A8A49D74-6024-4A39-A649-E49ADA99575F}">
      <text>
        <r>
          <rPr>
            <b/>
            <sz val="9"/>
            <color indexed="81"/>
            <rFont val="Tahoma"/>
            <family val="2"/>
          </rPr>
          <t>bd accountant2:</t>
        </r>
        <r>
          <rPr>
            <sz val="9"/>
            <color indexed="81"/>
            <rFont val="Tahoma"/>
            <family val="2"/>
          </rPr>
          <t xml:space="preserve">
4/12/2024</t>
        </r>
      </text>
    </comment>
    <comment ref="D62" authorId="1" shapeId="0" xr:uid="{0FBEA056-0C5E-46FA-9122-5EFDD6042A37}">
      <text>
        <r>
          <rPr>
            <b/>
            <sz val="9"/>
            <color indexed="81"/>
            <rFont val="Tahoma"/>
            <family val="2"/>
          </rPr>
          <t>bd accountant2:</t>
        </r>
        <r>
          <rPr>
            <sz val="9"/>
            <color indexed="81"/>
            <rFont val="Tahoma"/>
            <family val="2"/>
          </rPr>
          <t xml:space="preserve">
end payroll 6/23/2023</t>
        </r>
      </text>
    </comment>
    <comment ref="E62" authorId="1" shapeId="0" xr:uid="{FB3D4AAB-4415-4A0D-A7C6-B8AFC82C5FA6}">
      <text>
        <r>
          <rPr>
            <b/>
            <sz val="9"/>
            <color indexed="81"/>
            <rFont val="Tahoma"/>
            <family val="2"/>
          </rPr>
          <t>bd accountant2:</t>
        </r>
        <r>
          <rPr>
            <sz val="9"/>
            <color indexed="81"/>
            <rFont val="Tahoma"/>
            <family val="2"/>
          </rPr>
          <t xml:space="preserve">
3/31/2023</t>
        </r>
      </text>
    </comment>
    <comment ref="F62" authorId="1" shapeId="0" xr:uid="{C5A11A20-7561-405B-9D1D-D77946BC8F7E}">
      <text>
        <r>
          <rPr>
            <b/>
            <sz val="9"/>
            <color indexed="81"/>
            <rFont val="Tahoma"/>
            <family val="2"/>
          </rPr>
          <t>bd accountant2:</t>
        </r>
        <r>
          <rPr>
            <sz val="9"/>
            <color indexed="81"/>
            <rFont val="Tahoma"/>
            <family val="2"/>
          </rPr>
          <t xml:space="preserve">
4/14/2023</t>
        </r>
      </text>
    </comment>
    <comment ref="D65" authorId="1" shapeId="0" xr:uid="{0DBF53E0-F343-4341-B214-BDDA1185F307}">
      <text>
        <r>
          <rPr>
            <b/>
            <sz val="9"/>
            <color indexed="81"/>
            <rFont val="Tahoma"/>
            <family val="2"/>
          </rPr>
          <t>bd accountant2:</t>
        </r>
        <r>
          <rPr>
            <sz val="9"/>
            <color indexed="81"/>
            <rFont val="Tahoma"/>
            <family val="2"/>
          </rPr>
          <t xml:space="preserve">
last payroll 3/31/2023</t>
        </r>
      </text>
    </comment>
    <comment ref="E66" authorId="1" shapeId="0" xr:uid="{4CDAA249-C0C4-4452-9EE8-D3D2292210D7}">
      <text>
        <r>
          <rPr>
            <b/>
            <sz val="9"/>
            <color indexed="81"/>
            <rFont val="Tahoma"/>
            <family val="2"/>
          </rPr>
          <t>bd accountant2:</t>
        </r>
        <r>
          <rPr>
            <sz val="9"/>
            <color indexed="81"/>
            <rFont val="Tahoma"/>
            <family val="2"/>
          </rPr>
          <t xml:space="preserve">
4/14/2023</t>
        </r>
      </text>
    </comment>
    <comment ref="G66" authorId="1" shapeId="0" xr:uid="{8594459E-9761-43B9-A973-B46D4264C703}">
      <text>
        <r>
          <rPr>
            <b/>
            <sz val="9"/>
            <color indexed="81"/>
            <rFont val="Tahoma"/>
            <family val="2"/>
          </rPr>
          <t>bd accountant2:</t>
        </r>
        <r>
          <rPr>
            <sz val="9"/>
            <color indexed="81"/>
            <rFont val="Tahoma"/>
            <family val="2"/>
          </rPr>
          <t xml:space="preserve">
4/12/2024</t>
        </r>
      </text>
    </comment>
    <comment ref="D67" authorId="1" shapeId="0" xr:uid="{B80C6B87-627B-458D-91B6-12D60F60CC98}">
      <text>
        <r>
          <rPr>
            <b/>
            <sz val="9"/>
            <color indexed="81"/>
            <rFont val="Tahoma"/>
            <family val="2"/>
          </rPr>
          <t>bd accountant2:</t>
        </r>
        <r>
          <rPr>
            <sz val="9"/>
            <color indexed="81"/>
            <rFont val="Tahoma"/>
            <family val="2"/>
          </rPr>
          <t xml:space="preserve">
last payroll 4/26/2024</t>
        </r>
      </text>
    </comment>
    <comment ref="E67" authorId="1" shapeId="0" xr:uid="{25218D54-E9A9-4B66-A76C-A572A45E2B07}">
      <text>
        <r>
          <rPr>
            <b/>
            <sz val="9"/>
            <color indexed="81"/>
            <rFont val="Tahoma"/>
            <family val="2"/>
          </rPr>
          <t>bd accountant2:</t>
        </r>
        <r>
          <rPr>
            <sz val="9"/>
            <color indexed="81"/>
            <rFont val="Tahoma"/>
            <family val="2"/>
          </rPr>
          <t xml:space="preserve">
4/14/2023</t>
        </r>
      </text>
    </comment>
    <comment ref="D68" authorId="1" shapeId="0" xr:uid="{A9C1B396-C62B-4524-AB96-4E6A4B6AF01A}">
      <text>
        <r>
          <rPr>
            <b/>
            <sz val="9"/>
            <color indexed="81"/>
            <rFont val="Tahoma"/>
            <family val="2"/>
          </rPr>
          <t>bd accountant2:</t>
        </r>
        <r>
          <rPr>
            <sz val="9"/>
            <color indexed="81"/>
            <rFont val="Tahoma"/>
            <family val="2"/>
          </rPr>
          <t xml:space="preserve">
end payroll 3/3/2023</t>
        </r>
      </text>
    </comment>
    <comment ref="D71" authorId="1" shapeId="0" xr:uid="{9277422A-931C-46BA-A448-87EB676919D0}">
      <text>
        <r>
          <rPr>
            <b/>
            <sz val="9"/>
            <color indexed="81"/>
            <rFont val="Tahoma"/>
            <family val="2"/>
          </rPr>
          <t>bd accountant2:</t>
        </r>
        <r>
          <rPr>
            <sz val="9"/>
            <color indexed="81"/>
            <rFont val="Tahoma"/>
            <family val="2"/>
          </rPr>
          <t xml:space="preserve">
first payroll 6/18/2023
last payroll 1/5/2024</t>
        </r>
      </text>
    </comment>
    <comment ref="G71" authorId="0" shapeId="0" xr:uid="{9514A84E-633A-41B4-AB0F-402BE1EB222E}">
      <text>
        <r>
          <rPr>
            <b/>
            <sz val="9"/>
            <color indexed="81"/>
            <rFont val="Tahoma"/>
            <family val="2"/>
          </rPr>
          <t>Logan Davis:</t>
        </r>
        <r>
          <rPr>
            <sz val="9"/>
            <color indexed="81"/>
            <rFont val="Tahoma"/>
            <family val="2"/>
          </rPr>
          <t xml:space="preserve">
7/16/2023</t>
        </r>
      </text>
    </comment>
    <comment ref="D72" authorId="1" shapeId="0" xr:uid="{6F8E98A3-B4ED-4C7E-A0BE-63ECC9C1D99A}">
      <text>
        <r>
          <rPr>
            <b/>
            <sz val="9"/>
            <color indexed="81"/>
            <rFont val="Tahoma"/>
            <family val="2"/>
          </rPr>
          <t>bd accountant2:</t>
        </r>
        <r>
          <rPr>
            <sz val="9"/>
            <color indexed="81"/>
            <rFont val="Tahoma"/>
            <family val="2"/>
          </rPr>
          <t xml:space="preserve">
first payroll 10/27/2023
last payroll 3/29/2023</t>
        </r>
      </text>
    </comment>
    <comment ref="D73" authorId="1" shapeId="0" xr:uid="{3B096157-55A3-4BA8-99CA-17CFCC2284A5}">
      <text>
        <r>
          <rPr>
            <b/>
            <sz val="9"/>
            <color indexed="81"/>
            <rFont val="Tahoma"/>
            <family val="2"/>
          </rPr>
          <t xml:space="preserve">bd accountant2:
</t>
        </r>
        <r>
          <rPr>
            <sz val="9"/>
            <color indexed="81"/>
            <rFont val="Tahoma"/>
            <family val="2"/>
          </rPr>
          <t>start payroll 10/13/2023
end payroll 2/16/2024</t>
        </r>
      </text>
    </comment>
    <comment ref="D74" authorId="1" shapeId="0" xr:uid="{80339AB7-5AF1-4860-80B9-1E02AC648E0E}">
      <text>
        <r>
          <rPr>
            <b/>
            <sz val="9"/>
            <color indexed="81"/>
            <rFont val="Tahoma"/>
            <family val="2"/>
          </rPr>
          <t>bd accountant2:</t>
        </r>
        <r>
          <rPr>
            <sz val="9"/>
            <color indexed="81"/>
            <rFont val="Tahoma"/>
            <family val="2"/>
          </rPr>
          <t xml:space="preserve">
first payroll 7/7/2023
last payroll 1/5/2024</t>
        </r>
      </text>
    </comment>
    <comment ref="D75" authorId="1" shapeId="0" xr:uid="{041AE383-7D3C-45F1-8980-95901FE29139}">
      <text>
        <r>
          <rPr>
            <b/>
            <sz val="9"/>
            <color indexed="81"/>
            <rFont val="Tahoma"/>
            <family val="2"/>
          </rPr>
          <t>bd accountant2:</t>
        </r>
        <r>
          <rPr>
            <sz val="9"/>
            <color indexed="81"/>
            <rFont val="Tahoma"/>
            <family val="2"/>
          </rPr>
          <t xml:space="preserve">
first payroll 9/29/2023</t>
        </r>
      </text>
    </comment>
    <comment ref="E75" authorId="1" shapeId="0" xr:uid="{5EDB733C-2B9E-4E53-93C9-F7DE79C6F286}">
      <text>
        <r>
          <rPr>
            <b/>
            <sz val="9"/>
            <color indexed="81"/>
            <rFont val="Tahoma"/>
            <family val="2"/>
          </rPr>
          <t>bd accountant2:</t>
        </r>
        <r>
          <rPr>
            <sz val="9"/>
            <color indexed="81"/>
            <rFont val="Tahoma"/>
            <family val="2"/>
          </rPr>
          <t xml:space="preserve">
4/12/2024</t>
        </r>
      </text>
    </comment>
    <comment ref="G75" authorId="1" shapeId="0" xr:uid="{38F49ADD-9789-49F0-B6A6-C4B6B25E2CAD}">
      <text>
        <r>
          <rPr>
            <b/>
            <sz val="9"/>
            <color indexed="81"/>
            <rFont val="Tahoma"/>
            <family val="2"/>
          </rPr>
          <t>bd accountant2:</t>
        </r>
        <r>
          <rPr>
            <sz val="9"/>
            <color indexed="81"/>
            <rFont val="Tahoma"/>
            <family val="2"/>
          </rPr>
          <t xml:space="preserve">
6/7/2024</t>
        </r>
      </text>
    </comment>
    <comment ref="D76" authorId="1" shapeId="0" xr:uid="{E638DCCC-6245-426B-867F-2004554AFE97}">
      <text>
        <r>
          <rPr>
            <b/>
            <sz val="9"/>
            <color indexed="81"/>
            <rFont val="Tahoma"/>
            <family val="2"/>
          </rPr>
          <t>bd accountant2:</t>
        </r>
        <r>
          <rPr>
            <sz val="9"/>
            <color indexed="81"/>
            <rFont val="Tahoma"/>
            <family val="2"/>
          </rPr>
          <t xml:space="preserve">
first payroll 6/23/2023</t>
        </r>
      </text>
    </comment>
    <comment ref="E76" authorId="1" shapeId="0" xr:uid="{BAE06C83-8C58-47B4-8D00-162447AA6474}">
      <text>
        <r>
          <rPr>
            <b/>
            <sz val="9"/>
            <color indexed="81"/>
            <rFont val="Tahoma"/>
            <family val="2"/>
          </rPr>
          <t>bd accountant2:</t>
        </r>
        <r>
          <rPr>
            <sz val="9"/>
            <color indexed="81"/>
            <rFont val="Tahoma"/>
            <family val="2"/>
          </rPr>
          <t xml:space="preserve">
3/1/2024</t>
        </r>
      </text>
    </comment>
    <comment ref="G76" authorId="1" shapeId="0" xr:uid="{B403D8B1-D832-48AB-9853-17A226F9CC05}">
      <text>
        <r>
          <rPr>
            <b/>
            <sz val="9"/>
            <color indexed="81"/>
            <rFont val="Tahoma"/>
            <family val="2"/>
          </rPr>
          <t>bd accountant2:</t>
        </r>
        <r>
          <rPr>
            <sz val="9"/>
            <color indexed="81"/>
            <rFont val="Tahoma"/>
            <family val="2"/>
          </rPr>
          <t xml:space="preserve">
4/12/2024</t>
        </r>
      </text>
    </comment>
    <comment ref="D77" authorId="1" shapeId="0" xr:uid="{82E7AF98-2B25-4B45-9B69-87DC2480A71D}">
      <text>
        <r>
          <rPr>
            <b/>
            <sz val="9"/>
            <color indexed="81"/>
            <rFont val="Tahoma"/>
            <family val="2"/>
          </rPr>
          <t>bd accountant2:</t>
        </r>
        <r>
          <rPr>
            <sz val="9"/>
            <color indexed="81"/>
            <rFont val="Tahoma"/>
            <family val="2"/>
          </rPr>
          <t xml:space="preserve">
start payroll 9/29/2023</t>
        </r>
      </text>
    </comment>
    <comment ref="G77" authorId="1" shapeId="0" xr:uid="{1BC13070-2A48-4D14-BDD0-3FE06D654983}">
      <text>
        <r>
          <rPr>
            <b/>
            <sz val="9"/>
            <color indexed="81"/>
            <rFont val="Tahoma"/>
            <family val="2"/>
          </rPr>
          <t>bd accountant2:</t>
        </r>
        <r>
          <rPr>
            <sz val="9"/>
            <color indexed="81"/>
            <rFont val="Tahoma"/>
            <family val="2"/>
          </rPr>
          <t xml:space="preserve">
4/12/2024</t>
        </r>
      </text>
    </comment>
    <comment ref="D78" authorId="1" shapeId="0" xr:uid="{1C0968CA-1900-4862-B535-FAA90B5D3B02}">
      <text>
        <r>
          <rPr>
            <b/>
            <sz val="9"/>
            <color indexed="81"/>
            <rFont val="Tahoma"/>
            <family val="2"/>
          </rPr>
          <t>bd accountant2:</t>
        </r>
        <r>
          <rPr>
            <sz val="9"/>
            <color indexed="81"/>
            <rFont val="Tahoma"/>
            <family val="2"/>
          </rPr>
          <t xml:space="preserve">
3/15/2024</t>
        </r>
      </text>
    </comment>
    <comment ref="G78" authorId="1" shapeId="0" xr:uid="{211311BC-32B1-4CB4-809D-F452423DE3D7}">
      <text>
        <r>
          <rPr>
            <b/>
            <sz val="9"/>
            <color indexed="81"/>
            <rFont val="Tahoma"/>
            <family val="2"/>
          </rPr>
          <t>bd accountant2:</t>
        </r>
        <r>
          <rPr>
            <sz val="9"/>
            <color indexed="81"/>
            <rFont val="Tahoma"/>
            <family val="2"/>
          </rPr>
          <t xml:space="preserve">
4/12/2024</t>
        </r>
      </text>
    </comment>
    <comment ref="D79" authorId="1" shapeId="0" xr:uid="{D7AAAFCC-F598-4C30-B6B1-12CDBC81DDB2}">
      <text>
        <r>
          <rPr>
            <b/>
            <sz val="9"/>
            <color indexed="81"/>
            <rFont val="Tahoma"/>
            <family val="2"/>
          </rPr>
          <t>bd accountant2:</t>
        </r>
        <r>
          <rPr>
            <sz val="9"/>
            <color indexed="81"/>
            <rFont val="Tahoma"/>
            <family val="2"/>
          </rPr>
          <t xml:space="preserve">
first payroll 4/26/2024</t>
        </r>
      </text>
    </comment>
    <comment ref="D80" authorId="0" shapeId="0" xr:uid="{6ABFD58B-9F70-4B19-BDE6-29F70AF31883}">
      <text>
        <r>
          <rPr>
            <b/>
            <sz val="9"/>
            <color indexed="81"/>
            <rFont val="Tahoma"/>
            <family val="2"/>
          </rPr>
          <t>Logan Davis:</t>
        </r>
        <r>
          <rPr>
            <sz val="9"/>
            <color indexed="81"/>
            <rFont val="Tahoma"/>
            <family val="2"/>
          </rPr>
          <t xml:space="preserve">
First payroll 09/27/2024</t>
        </r>
      </text>
    </comment>
    <comment ref="D81" authorId="1" shapeId="0" xr:uid="{BA4D910B-55CB-43EF-8751-82E92603522F}">
      <text>
        <r>
          <rPr>
            <b/>
            <sz val="9"/>
            <color indexed="81"/>
            <rFont val="Tahoma"/>
            <family val="2"/>
          </rPr>
          <t>bd accountant2:</t>
        </r>
        <r>
          <rPr>
            <sz val="9"/>
            <color indexed="81"/>
            <rFont val="Tahoma"/>
            <family val="2"/>
          </rPr>
          <t xml:space="preserve">
6/21/2024</t>
        </r>
      </text>
    </comment>
    <comment ref="G81" authorId="0" shapeId="0" xr:uid="{0BE4D895-699B-4904-AF0F-D67C3D9246FB}">
      <text>
        <r>
          <rPr>
            <b/>
            <sz val="9"/>
            <color indexed="81"/>
            <rFont val="Tahoma"/>
            <family val="2"/>
          </rPr>
          <t>Logan Davis:</t>
        </r>
        <r>
          <rPr>
            <sz val="9"/>
            <color indexed="81"/>
            <rFont val="Tahoma"/>
            <family val="2"/>
          </rPr>
          <t xml:space="preserve">
08/02/2024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Jackie Davis</author>
  </authors>
  <commentList>
    <comment ref="C65" authorId="0" shapeId="0" xr:uid="{19ACAFA0-7E68-497D-93CA-3DB631BCFB0A}">
      <text>
        <r>
          <rPr>
            <b/>
            <sz val="9"/>
            <color indexed="81"/>
            <rFont val="Tahoma"/>
            <family val="2"/>
          </rPr>
          <t>Jackie Davis:</t>
        </r>
        <r>
          <rPr>
            <sz val="9"/>
            <color indexed="81"/>
            <rFont val="Tahoma"/>
            <family val="2"/>
          </rPr>
          <t xml:space="preserve">
included -54.45 for Darian Veldez here to balance. Didn't work in 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Randy Poole</author>
  </authors>
  <commentList>
    <comment ref="T20" authorId="0" shapeId="0" xr:uid="{D4D32517-FAF3-44C9-8A37-8A1443BC955E}">
      <text>
        <r>
          <rPr>
            <b/>
            <sz val="9"/>
            <color indexed="81"/>
            <rFont val="Tahoma"/>
            <family val="2"/>
          </rPr>
          <t>Randy Poole:</t>
        </r>
        <r>
          <rPr>
            <sz val="9"/>
            <color indexed="81"/>
            <rFont val="Tahoma"/>
            <family val="2"/>
          </rPr>
          <t xml:space="preserve">
Finance charge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Randy Poole</author>
  </authors>
  <commentList>
    <comment ref="P98" authorId="0" shapeId="0" xr:uid="{E42E5B58-D2D6-41A4-AFA2-7277324993C3}">
      <text>
        <r>
          <rPr>
            <b/>
            <sz val="9"/>
            <color indexed="81"/>
            <rFont val="Tahoma"/>
            <family val="2"/>
          </rPr>
          <t>Randy Poole:</t>
        </r>
        <r>
          <rPr>
            <sz val="9"/>
            <color indexed="81"/>
            <rFont val="Tahoma"/>
            <family val="2"/>
          </rPr>
          <t xml:space="preserve">
Is the difference the same amount as the other general expense from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<sst xmlns="http://schemas.openxmlformats.org/spreadsheetml/2006/main" count="2782" uniqueCount="1378">
  <si>
    <t>Total</t>
  </si>
  <si>
    <t>Employee</t>
  </si>
  <si>
    <t>Hours</t>
  </si>
  <si>
    <t>Amount</t>
  </si>
  <si>
    <t>Increase</t>
  </si>
  <si>
    <t xml:space="preserve"> </t>
  </si>
  <si>
    <t>TOTAL</t>
  </si>
  <si>
    <t>Payroll</t>
  </si>
  <si>
    <t>MECHANICS</t>
  </si>
  <si>
    <t>Expense</t>
  </si>
  <si>
    <t>Wages Drivers</t>
  </si>
  <si>
    <t>Wages Mechanics</t>
  </si>
  <si>
    <t>WUTC Fee</t>
  </si>
  <si>
    <t>Total Expenses</t>
  </si>
  <si>
    <t>OPERATING EXPENSES</t>
  </si>
  <si>
    <t>NET OPERATING INCOME</t>
  </si>
  <si>
    <t>Adjust</t>
  </si>
  <si>
    <t xml:space="preserve">Restate </t>
  </si>
  <si>
    <t>Rate</t>
  </si>
  <si>
    <t>PER</t>
  </si>
  <si>
    <t>Depr to</t>
  </si>
  <si>
    <t>Restating</t>
  </si>
  <si>
    <t>Proforma</t>
  </si>
  <si>
    <t>BOOKS</t>
  </si>
  <si>
    <t>Actual</t>
  </si>
  <si>
    <t>Adjustments</t>
  </si>
  <si>
    <t>Cost</t>
  </si>
  <si>
    <t>REVENUES</t>
  </si>
  <si>
    <t>Expenses</t>
  </si>
  <si>
    <t>Payroll Taxes</t>
  </si>
  <si>
    <t>Amortization</t>
  </si>
  <si>
    <t>OPERATING RATIO %</t>
  </si>
  <si>
    <t>RECLASS</t>
  </si>
  <si>
    <t>Per G/L</t>
  </si>
  <si>
    <t>Reclass</t>
  </si>
  <si>
    <t>Life</t>
  </si>
  <si>
    <t>Per Operations</t>
  </si>
  <si>
    <t>%</t>
  </si>
  <si>
    <t>Increase (decrease)</t>
  </si>
  <si>
    <t>Service</t>
  </si>
  <si>
    <t>Depreciation</t>
  </si>
  <si>
    <t>OTHER INCOME</t>
  </si>
  <si>
    <t>Miscellaneous</t>
  </si>
  <si>
    <t>R-1</t>
  </si>
  <si>
    <t>R-2</t>
  </si>
  <si>
    <t>R-3</t>
  </si>
  <si>
    <t>R-4</t>
  </si>
  <si>
    <t>R-5</t>
  </si>
  <si>
    <t>R-6</t>
  </si>
  <si>
    <t>R-7</t>
  </si>
  <si>
    <t>P-2</t>
  </si>
  <si>
    <t>P-3</t>
  </si>
  <si>
    <t>P-4</t>
  </si>
  <si>
    <t>P-5</t>
  </si>
  <si>
    <t>Hourly</t>
  </si>
  <si>
    <t>RC-1</t>
  </si>
  <si>
    <t>RC-2</t>
  </si>
  <si>
    <t>RC-3</t>
  </si>
  <si>
    <t>Disposal</t>
  </si>
  <si>
    <t>December</t>
  </si>
  <si>
    <t>November</t>
  </si>
  <si>
    <t>October</t>
  </si>
  <si>
    <t>September</t>
  </si>
  <si>
    <t>January</t>
  </si>
  <si>
    <t>February</t>
  </si>
  <si>
    <t>March</t>
  </si>
  <si>
    <t>April</t>
  </si>
  <si>
    <t>May</t>
  </si>
  <si>
    <t>June</t>
  </si>
  <si>
    <t>July</t>
  </si>
  <si>
    <t>August</t>
  </si>
  <si>
    <t>Bad Debt Expense</t>
  </si>
  <si>
    <t>&amp; Recycle</t>
  </si>
  <si>
    <t>Taxes</t>
  </si>
  <si>
    <t>P-1</t>
  </si>
  <si>
    <t>Salary/</t>
  </si>
  <si>
    <t>H</t>
  </si>
  <si>
    <t>S</t>
  </si>
  <si>
    <t>1.5 over 40 hrs</t>
  </si>
  <si>
    <t>Overtime</t>
  </si>
  <si>
    <t>Projected</t>
  </si>
  <si>
    <t>Annual</t>
  </si>
  <si>
    <t>Wage</t>
  </si>
  <si>
    <t>FICA</t>
  </si>
  <si>
    <t>Employment</t>
  </si>
  <si>
    <t>Security</t>
  </si>
  <si>
    <t>FUTA</t>
  </si>
  <si>
    <t>L&amp;I</t>
  </si>
  <si>
    <t>Gallons</t>
  </si>
  <si>
    <t>End of</t>
  </si>
  <si>
    <t>Period</t>
  </si>
  <si>
    <t>Long Term Debt</t>
  </si>
  <si>
    <t>Equity</t>
  </si>
  <si>
    <t>Interest Expense</t>
  </si>
  <si>
    <t>actual test period</t>
  </si>
  <si>
    <t>Weighted cost of debt</t>
  </si>
  <si>
    <t>Debt</t>
  </si>
  <si>
    <t>SCHEDULE 1 - EXPLANATION OF RESTATING ADJUSTMENTS</t>
  </si>
  <si>
    <t>RESULTS OF OPERATIONS</t>
  </si>
  <si>
    <t>SCHEDULE 2 - EXPLANATION OF FORECAST ADJUSTMENTS</t>
  </si>
  <si>
    <t>SCHEDULE 3 - EXPLANATION OF RECLASS ADJUSTMENTS</t>
  </si>
  <si>
    <t>Net Income</t>
  </si>
  <si>
    <t>Fuel and Oil</t>
  </si>
  <si>
    <t>Expenses:</t>
  </si>
  <si>
    <t>Total Revenues</t>
  </si>
  <si>
    <t>Revenues:</t>
  </si>
  <si>
    <t>Totals</t>
  </si>
  <si>
    <t>Income Statement by Month Provided by Client - Used to Calculate the Twelve Months</t>
  </si>
  <si>
    <t>SCHEDULE 1 - SUMMARY OF RESTATING ADJUSTMENTS, Continued</t>
  </si>
  <si>
    <t>SCHEDULE 2 - SUMMARY OF FORECAST ADJUSTMENTS, Continued</t>
  </si>
  <si>
    <t>SCHEDULE 3 - SUMMARY OF RECLASS ADJUSTMENTS, Continued</t>
  </si>
  <si>
    <t>SCHEDULE 4 - CALCULATE THE TWELVE MONTHS</t>
  </si>
  <si>
    <t>Per Books</t>
  </si>
  <si>
    <t>Restated</t>
  </si>
  <si>
    <t>Rate Case</t>
  </si>
  <si>
    <t xml:space="preserve">    NET INCOME </t>
  </si>
  <si>
    <t>Regular</t>
  </si>
  <si>
    <t>Washington</t>
  </si>
  <si>
    <t>Refuse</t>
  </si>
  <si>
    <t>Summary of Significant Forecast Assumptions</t>
  </si>
  <si>
    <t>Work Papers</t>
  </si>
  <si>
    <t>Gross</t>
  </si>
  <si>
    <t>OT</t>
  </si>
  <si>
    <t>Holiday</t>
  </si>
  <si>
    <t>Average</t>
  </si>
  <si>
    <t>Fuel Cost</t>
  </si>
  <si>
    <t>actual</t>
  </si>
  <si>
    <t>Forecasted Fuel Cost</t>
  </si>
  <si>
    <t>Total Forecasted Expense</t>
  </si>
  <si>
    <t>Depn</t>
  </si>
  <si>
    <t>Investment</t>
  </si>
  <si>
    <t>Wages</t>
  </si>
  <si>
    <t>E.</t>
  </si>
  <si>
    <t>D.</t>
  </si>
  <si>
    <t>C.</t>
  </si>
  <si>
    <t>A.</t>
  </si>
  <si>
    <t>Depr.</t>
  </si>
  <si>
    <t>Allo.</t>
  </si>
  <si>
    <t>Depreciable Cost</t>
  </si>
  <si>
    <t>Disp</t>
  </si>
  <si>
    <t>Asset Cost</t>
  </si>
  <si>
    <t>Mo</t>
  </si>
  <si>
    <t>Yr</t>
  </si>
  <si>
    <t>Asset Description</t>
  </si>
  <si>
    <t>Test year</t>
  </si>
  <si>
    <t>Test Year</t>
  </si>
  <si>
    <t>Year</t>
  </si>
  <si>
    <t xml:space="preserve">Monthly </t>
  </si>
  <si>
    <t>Asset</t>
  </si>
  <si>
    <t>Fully</t>
  </si>
  <si>
    <t>Mthd</t>
  </si>
  <si>
    <t>Value</t>
  </si>
  <si>
    <t>Accumulated</t>
  </si>
  <si>
    <t>Accum.</t>
  </si>
  <si>
    <t>Branch</t>
  </si>
  <si>
    <t>Salvage</t>
  </si>
  <si>
    <t>Date in</t>
  </si>
  <si>
    <t>Disposition Date</t>
  </si>
  <si>
    <t>Ending</t>
  </si>
  <si>
    <t>Beginning</t>
  </si>
  <si>
    <t>Second year</t>
  </si>
  <si>
    <t>Date fully Depr</t>
  </si>
  <si>
    <t>C</t>
  </si>
  <si>
    <t>First year</t>
  </si>
  <si>
    <t>Months in second year</t>
  </si>
  <si>
    <t>Months in first year</t>
  </si>
  <si>
    <t>End of Test Period</t>
  </si>
  <si>
    <t>B.</t>
  </si>
  <si>
    <t>Purchase date</t>
  </si>
  <si>
    <t>SL</t>
  </si>
  <si>
    <t>Subtotal</t>
  </si>
  <si>
    <t>Depn.</t>
  </si>
  <si>
    <t xml:space="preserve">  Yr.</t>
  </si>
  <si>
    <t>Test yr.</t>
  </si>
  <si>
    <t>Monthly</t>
  </si>
  <si>
    <t>Depreciable</t>
  </si>
  <si>
    <t>Beg of Test Period</t>
  </si>
  <si>
    <t>Lobbying</t>
  </si>
  <si>
    <t>Test</t>
  </si>
  <si>
    <t>Test Year Totals</t>
  </si>
  <si>
    <t>wage base</t>
  </si>
  <si>
    <t>UI rate</t>
  </si>
  <si>
    <t>Actual Misc Shop</t>
  </si>
  <si>
    <t>Revenue</t>
  </si>
  <si>
    <t xml:space="preserve">Income </t>
  </si>
  <si>
    <t>Statement</t>
  </si>
  <si>
    <t>Income</t>
  </si>
  <si>
    <t>Adj #</t>
  </si>
  <si>
    <t>Total Revenue</t>
  </si>
  <si>
    <t>D =</t>
  </si>
  <si>
    <t>R =</t>
  </si>
  <si>
    <t>N =</t>
  </si>
  <si>
    <t>A =</t>
  </si>
  <si>
    <t>Allocate a portion to non-regulated activities</t>
  </si>
  <si>
    <t xml:space="preserve">Removed adj completely </t>
  </si>
  <si>
    <t xml:space="preserve">Gross operational revenue </t>
  </si>
  <si>
    <t>Change</t>
  </si>
  <si>
    <t>ADJUSTED</t>
  </si>
  <si>
    <t>Results of Operations</t>
  </si>
  <si>
    <t>Pro Forma</t>
  </si>
  <si>
    <t>GL Booth JG Davis &amp; Associates</t>
  </si>
  <si>
    <t xml:space="preserve">P-1                                    </t>
  </si>
  <si>
    <t>.</t>
  </si>
  <si>
    <t>DRIVERS</t>
  </si>
  <si>
    <t>√</t>
  </si>
  <si>
    <t>Residential &amp; Commercial Tons Total</t>
  </si>
  <si>
    <t>Notes:</t>
  </si>
  <si>
    <t>Cost per Gallon</t>
  </si>
  <si>
    <t>WORKPAPER 1 - DEPRECIATION</t>
  </si>
  <si>
    <t>WORKPAPER 1 - DEPRECIATION, Continued</t>
  </si>
  <si>
    <t>WORKPAPER 2 - LABOR ANALYSIS</t>
  </si>
  <si>
    <t>WORKPAPER 2 - LABOR ANALYSIS, Continued</t>
  </si>
  <si>
    <t>WORKPAPER 5 - CAPITAL STRUCTURE/COST OF DEBT/ROE ANALYSIS</t>
  </si>
  <si>
    <t>WORKPAPER 6 - TRANSACTIONS WITH AFFILIATED COMPANIES</t>
  </si>
  <si>
    <t>R = Restate</t>
  </si>
  <si>
    <t>RC = Reclass</t>
  </si>
  <si>
    <t>PTO</t>
  </si>
  <si>
    <t>R-8</t>
  </si>
  <si>
    <t>R-9</t>
  </si>
  <si>
    <t>Included in pro forma</t>
  </si>
  <si>
    <t>Allocated to non-reg activity only</t>
  </si>
  <si>
    <t>Accrued Vacation</t>
  </si>
  <si>
    <t>Accrued Payroll</t>
  </si>
  <si>
    <t>Costs billed for new rate case:</t>
  </si>
  <si>
    <t>Total cost for new rate case:</t>
  </si>
  <si>
    <t>Amortized costs over 3 years:</t>
  </si>
  <si>
    <t>Disposal Increase:</t>
  </si>
  <si>
    <t>No overtime</t>
  </si>
  <si>
    <t>If total hours over 2,080, used formula to remove excess to not double-up on overtime</t>
  </si>
  <si>
    <t xml:space="preserve"> HISTORICAL AND FORECASTED</t>
  </si>
  <si>
    <t>Ties to income statement tab</t>
  </si>
  <si>
    <t>P = Proforma</t>
  </si>
  <si>
    <t>Forecast</t>
  </si>
  <si>
    <t>Non-Public Companies</t>
  </si>
  <si>
    <t>nonpubco</t>
  </si>
  <si>
    <r>
      <t xml:space="preserve">LURITO - GALLAGHER FORMULA  MODEL 2018  </t>
    </r>
    <r>
      <rPr>
        <sz val="8"/>
        <color indexed="9"/>
        <rFont val="Calibri"/>
        <family val="2"/>
      </rPr>
      <t>V5.0a</t>
    </r>
  </si>
  <si>
    <t>CALCULATION TABLES</t>
  </si>
  <si>
    <t>Revenue Senstive Taxes (RevS)</t>
  </si>
  <si>
    <t>(b) + (c)</t>
  </si>
  <si>
    <t>(d) + (e)</t>
  </si>
  <si>
    <t>Regession</t>
  </si>
  <si>
    <t>Hauler</t>
  </si>
  <si>
    <t>Revenue Req</t>
  </si>
  <si>
    <t xml:space="preserve">Revenue </t>
  </si>
  <si>
    <t>INPUTS - Test Year</t>
  </si>
  <si>
    <t>(a)</t>
  </si>
  <si>
    <t>(b)</t>
  </si>
  <si>
    <t>(c)</t>
  </si>
  <si>
    <t>(d)</t>
  </si>
  <si>
    <t>(e)</t>
  </si>
  <si>
    <t>(f)</t>
  </si>
  <si>
    <t>Before Tax</t>
  </si>
  <si>
    <t>Less</t>
  </si>
  <si>
    <t>Adjusted</t>
  </si>
  <si>
    <t>After Tax</t>
  </si>
  <si>
    <t>Weighted Cost</t>
  </si>
  <si>
    <t>Before RevS</t>
  </si>
  <si>
    <t xml:space="preserve"> Increase Before</t>
  </si>
  <si>
    <t>Increase After</t>
  </si>
  <si>
    <t xml:space="preserve">RevS </t>
  </si>
  <si>
    <t xml:space="preserve">Total </t>
  </si>
  <si>
    <t>Operating Revenue</t>
  </si>
  <si>
    <t>Line</t>
  </si>
  <si>
    <t>Historical</t>
  </si>
  <si>
    <t>Add: Revenue</t>
  </si>
  <si>
    <t>Profit Ratio</t>
  </si>
  <si>
    <t>BTROI</t>
  </si>
  <si>
    <t>WCDebt</t>
  </si>
  <si>
    <t>BTROE</t>
  </si>
  <si>
    <t>ROE</t>
  </si>
  <si>
    <t>Equity BFT</t>
  </si>
  <si>
    <t>BTROR</t>
  </si>
  <si>
    <t>Operating Ratio</t>
  </si>
  <si>
    <t>RevS Taxes</t>
  </si>
  <si>
    <t>Operating Expenses</t>
  </si>
  <si>
    <t>No.</t>
  </si>
  <si>
    <t xml:space="preserve"> Sensitive Taxes</t>
  </si>
  <si>
    <t>Requirment</t>
  </si>
  <si>
    <t>Capital Structure - Debt %</t>
  </si>
  <si>
    <t>Capital Structure - Debt Cost</t>
  </si>
  <si>
    <t>Operating Income</t>
  </si>
  <si>
    <t>Federal Income Tax Rate</t>
  </si>
  <si>
    <t>2nd Iteration</t>
  </si>
  <si>
    <t>B&amp;O Tax Rate</t>
  </si>
  <si>
    <t>Income Tax Expense</t>
  </si>
  <si>
    <t>City Tax</t>
  </si>
  <si>
    <t>Bad Debts</t>
  </si>
  <si>
    <t>3rd Iteration</t>
  </si>
  <si>
    <t>Check when input is complete</t>
  </si>
  <si>
    <t xml:space="preserve">Operating Ratio </t>
  </si>
  <si>
    <t>No</t>
  </si>
  <si>
    <t>For Intial input: Uncheck Checkbox Until Completed</t>
  </si>
  <si>
    <t>Revenue Requirement</t>
  </si>
  <si>
    <t>Historical Revenue</t>
  </si>
  <si>
    <t>Revenue Increase before taxes</t>
  </si>
  <si>
    <t>Rate Increase</t>
  </si>
  <si>
    <t>Rev Sensitive Taxes</t>
  </si>
  <si>
    <t>4th Iteration</t>
  </si>
  <si>
    <t>2018 Version Update Changes</t>
  </si>
  <si>
    <t>● Allows Income Tax Rate Changes,</t>
  </si>
  <si>
    <t>● Minimizes impact of changes in test-year revenue from</t>
  </si>
  <si>
    <t xml:space="preserve">   resulting revenue requirment,</t>
  </si>
  <si>
    <t>Captial Structure Financing Investment</t>
  </si>
  <si>
    <t>Financing Cost</t>
  </si>
  <si>
    <t>● Corrects interest rate transposition in LG.</t>
  </si>
  <si>
    <t>Type</t>
  </si>
  <si>
    <t>Percent</t>
  </si>
  <si>
    <t>Cost of Capital</t>
  </si>
  <si>
    <t>Weighted</t>
  </si>
  <si>
    <t>5th Iteration</t>
  </si>
  <si>
    <t>Before</t>
  </si>
  <si>
    <t>After</t>
  </si>
  <si>
    <t>6th Iteration</t>
  </si>
  <si>
    <t>Operating Statistics</t>
  </si>
  <si>
    <t>Income Tax</t>
  </si>
  <si>
    <t>Return on Investment</t>
  </si>
  <si>
    <t>Return on Equity</t>
  </si>
  <si>
    <t>7th Iteration</t>
  </si>
  <si>
    <t>Profit Margin</t>
  </si>
  <si>
    <t>Final turnover</t>
  </si>
  <si>
    <t>Tax Rate</t>
  </si>
  <si>
    <t>Revenue Sensitive Taxes Charges</t>
  </si>
  <si>
    <t>Curve</t>
  </si>
  <si>
    <t>Lookup Table</t>
  </si>
  <si>
    <t xml:space="preserve"> B &amp; O Tax</t>
  </si>
  <si>
    <t xml:space="preserve"> WUTC Fee</t>
  </si>
  <si>
    <t xml:space="preserve"> City Tax</t>
  </si>
  <si>
    <t>Percent Chg</t>
  </si>
  <si>
    <t xml:space="preserve"> Bad Debts</t>
  </si>
  <si>
    <t>Revenue Sensitive</t>
  </si>
  <si>
    <t>Curve turnover</t>
  </si>
  <si>
    <t>@EXP(5.72260-(.68367*@LN(T)))</t>
  </si>
  <si>
    <t>Conversion Factor</t>
  </si>
  <si>
    <t>Curve No. used</t>
  </si>
  <si>
    <t>@EXP(5.70827-(.68367*@LN(T)))</t>
  </si>
  <si>
    <t>@EXP(5.69850-(.68367*@LN(T)))</t>
  </si>
  <si>
    <t>@EXP(5.69220-(.68367*@LN(T)))</t>
  </si>
  <si>
    <t>Base Utility from LG Sample Study</t>
  </si>
  <si>
    <t>Regression Results</t>
  </si>
  <si>
    <t>Y intercept (1)</t>
  </si>
  <si>
    <t>Y intercept (3)</t>
  </si>
  <si>
    <t>Y intercept (2)</t>
  </si>
  <si>
    <t>Y intercept (4)</t>
  </si>
  <si>
    <t>Pfd.</t>
  </si>
  <si>
    <t>Slope</t>
  </si>
  <si>
    <t>Pre-tax</t>
  </si>
  <si>
    <t>R</t>
  </si>
  <si>
    <t>Advertising and Promotion</t>
  </si>
  <si>
    <t>Bank Service Charges</t>
  </si>
  <si>
    <t>Donations</t>
  </si>
  <si>
    <t>Professional Fees</t>
  </si>
  <si>
    <t>Interest Income</t>
  </si>
  <si>
    <t>Shop Rent</t>
  </si>
  <si>
    <t>OTHER INCOME/(EXPENSE)</t>
  </si>
  <si>
    <t>Chamber of</t>
  </si>
  <si>
    <t>Commerce</t>
  </si>
  <si>
    <t>OFFICE/ADMIN</t>
  </si>
  <si>
    <t>OFFICERS</t>
  </si>
  <si>
    <t>Residential Garbage</t>
  </si>
  <si>
    <t>Drop Box / Compactor Collection</t>
  </si>
  <si>
    <t>Per Annual Report</t>
  </si>
  <si>
    <t>Commercial Collection</t>
  </si>
  <si>
    <t>Drop Box / Com. Pass Thru Disposal</t>
  </si>
  <si>
    <t>Residential Recycling Collection</t>
  </si>
  <si>
    <t>Multi-Family Recycling Collection</t>
  </si>
  <si>
    <t>Recycling Credits to Customers - (debits)/credits</t>
  </si>
  <si>
    <t>Yard Waste/Organics Collection</t>
  </si>
  <si>
    <t>Medical Waste Collection</t>
  </si>
  <si>
    <t>Other Revenues:</t>
  </si>
  <si>
    <t>Annual Report Total</t>
  </si>
  <si>
    <t>Operating Revenue per Annual Report:</t>
  </si>
  <si>
    <t>Other Garbage Collection</t>
  </si>
  <si>
    <t>Other Revenue - Non-regulated</t>
  </si>
  <si>
    <t>Sale of Recycle Commodities - Regulated</t>
  </si>
  <si>
    <t>Sale of Recycle Commodities - Nonregulated</t>
  </si>
  <si>
    <t>Annual Report Revenues:</t>
  </si>
  <si>
    <t>Total Miscellaneous</t>
  </si>
  <si>
    <t>Wages Office</t>
  </si>
  <si>
    <t>Per Monthly Income Statement</t>
  </si>
  <si>
    <t>Adj for Allowance for Doubtful Accounts</t>
  </si>
  <si>
    <t xml:space="preserve">Allowable Bad Debt </t>
  </si>
  <si>
    <t>Total bad debt per monthly income statement</t>
  </si>
  <si>
    <t>Nondeductible</t>
  </si>
  <si>
    <t xml:space="preserve">Pay </t>
  </si>
  <si>
    <t>Increases</t>
  </si>
  <si>
    <t>Pay</t>
  </si>
  <si>
    <t>Pay rates</t>
  </si>
  <si>
    <t>as of</t>
  </si>
  <si>
    <t xml:space="preserve">at </t>
  </si>
  <si>
    <t>Used hourly wage convervted from salary for salaried employees</t>
  </si>
  <si>
    <t>Pay increase effective date added as comment</t>
  </si>
  <si>
    <t>Test Year Gallons</t>
  </si>
  <si>
    <t>at</t>
  </si>
  <si>
    <t>RC-4</t>
  </si>
  <si>
    <t>Accrued Landfill Fees per QuickBooks</t>
  </si>
  <si>
    <t>Actual Fees per Invoice</t>
  </si>
  <si>
    <t>Reclass Adjsutment</t>
  </si>
  <si>
    <t>Pass through fees</t>
  </si>
  <si>
    <t>RC-5</t>
  </si>
  <si>
    <t>For New</t>
  </si>
  <si>
    <t>Employees</t>
  </si>
  <si>
    <t>Asset purchased after test year</t>
  </si>
  <si>
    <t>Proforma Adjustment:</t>
  </si>
  <si>
    <t>Months in forecast year</t>
  </si>
  <si>
    <t>Proforma adjustment</t>
  </si>
  <si>
    <t>Annual Hours</t>
  </si>
  <si>
    <t>Officer Pay</t>
  </si>
  <si>
    <t xml:space="preserve">Revenue from revised rates per tipping fee only </t>
  </si>
  <si>
    <t>Commercial garbage revenue per books</t>
  </si>
  <si>
    <t>Residential garbage revenue per books</t>
  </si>
  <si>
    <t>Total garbage revenue per books</t>
  </si>
  <si>
    <t>Revenue increase to residential garbage</t>
  </si>
  <si>
    <t>Revenue increase to commercial garbage</t>
  </si>
  <si>
    <t>Rate Case Cost</t>
  </si>
  <si>
    <t>No assurance is provided on this forecasted statement of operations and the summary of signifcant accounting policies has been omitted.</t>
  </si>
  <si>
    <t>4001.01 · Residential Rev-Grant County</t>
  </si>
  <si>
    <t>4001.02 · Residential Rev-Othello</t>
  </si>
  <si>
    <t>4001.03 · Residential Rev-Mattawa</t>
  </si>
  <si>
    <t>4001.04 · Residential Rev-Royal City</t>
  </si>
  <si>
    <t>4001.05 · Residential Rev-Warden</t>
  </si>
  <si>
    <t>4001.07 · Residential Rev-Ephrata</t>
  </si>
  <si>
    <t>4001.09 · Residential Rev-Quincy</t>
  </si>
  <si>
    <t>4001.10 · Residential Rev.-Odessa</t>
  </si>
  <si>
    <t>4001.11 · Residential Rev-Waterville</t>
  </si>
  <si>
    <t>4001.12 · Residential Rev-Mansfield</t>
  </si>
  <si>
    <t>4001.14 · Residential Rev-Lind</t>
  </si>
  <si>
    <t>4001.15 · Residential Rev-George</t>
  </si>
  <si>
    <t>4001.16 · Residential Rev-Adams County</t>
  </si>
  <si>
    <t>4001.17 · residential Rv-Moses Lake</t>
  </si>
  <si>
    <t>4001.18 · Residential Rev-Soap Lake</t>
  </si>
  <si>
    <t>4001.19 · Residential Revenue Hat</t>
  </si>
  <si>
    <t>4001.2 · Residential Rev-Wilson Creek</t>
  </si>
  <si>
    <t>4025.01 · Commercial Rev-Grant County</t>
  </si>
  <si>
    <t>4025.02 · Commercial Rev-Othello</t>
  </si>
  <si>
    <t>4025.03 · Commercial Rev-Mattawa</t>
  </si>
  <si>
    <t>4025.04 · Commercial Rev-Royal City</t>
  </si>
  <si>
    <t>4025.05 · Commercial Rev-Warden</t>
  </si>
  <si>
    <t>4025.07 · Commercial Rev-Ephrata</t>
  </si>
  <si>
    <t>4025.09 · Commercial Rev-Quincy</t>
  </si>
  <si>
    <t>4025.10 · Commercial Rev.-Odessa</t>
  </si>
  <si>
    <t>4025.11 · Commercial Rev-Waterville</t>
  </si>
  <si>
    <t>4025.12 · Commercial Rev-Mansfield</t>
  </si>
  <si>
    <t>4025.14 · Commercial Rev-Lind</t>
  </si>
  <si>
    <t>4025.15 · Commercial Rev-George</t>
  </si>
  <si>
    <t>4025.16 · Commercial Rev-Adams County</t>
  </si>
  <si>
    <t>4025.17 · Commercial Rev.- Moses Lake</t>
  </si>
  <si>
    <t>4025.18 · Commercial Rev-Soap Lake</t>
  </si>
  <si>
    <t>4025.19 · Commercial Hatton</t>
  </si>
  <si>
    <t>4025.2 · Commercial Rev-Wi;son Creek</t>
  </si>
  <si>
    <t>4050.01 · Dropbox/Compactor Rev-Grant Co</t>
  </si>
  <si>
    <t>4050.02 · Dropbox/Compactor Rev-Othello</t>
  </si>
  <si>
    <t>4050.03 · Dropbox Revenue - Mattawa</t>
  </si>
  <si>
    <t>4050.04 · Dropbox Revenue - Royal City</t>
  </si>
  <si>
    <t>4050.05 · Dropbox Revenue - Warden</t>
  </si>
  <si>
    <t>4050.07 · Dropbox/Compactor Rev-Ephrata</t>
  </si>
  <si>
    <t>4050.09 · Dropbox/Compactor Rev-Quincy</t>
  </si>
  <si>
    <t>4050.10 · Dropbox Revenue-Odessa</t>
  </si>
  <si>
    <t>4050.11 · Dropbox Revenue - Waterville</t>
  </si>
  <si>
    <t>4050.12 · Dropbox Revenue-Mansfield</t>
  </si>
  <si>
    <t>4050.14 · Dropbox?Compactor Rev-Lind</t>
  </si>
  <si>
    <t>4050.15 · Dropbox Revenue-George</t>
  </si>
  <si>
    <t>4050.16 · Dropbox/Compactor Rev-Adams Co</t>
  </si>
  <si>
    <t>4050.17 · Dropbox/Compactor Rev-Moses Lak</t>
  </si>
  <si>
    <t>4050.18 · Dropbox/Compactor rev-Soap Lake</t>
  </si>
  <si>
    <t>4075.14 · Lind Disposal Pass Thru Rev</t>
  </si>
  <si>
    <t>4075.2 · Disposal pass thru Rev.- Wilson</t>
  </si>
  <si>
    <t>4075.01 · Disposal PassThru Rev-Grant Co</t>
  </si>
  <si>
    <t>4075.03 · Disposal PassThru Rev-Mattawa</t>
  </si>
  <si>
    <t>4075.04 · Disposal Revenue-Royal City</t>
  </si>
  <si>
    <t>4075.05 · Disposal Revenue-Warden</t>
  </si>
  <si>
    <t>4075.06 · Disposal Pass Thru Rev-Misc</t>
  </si>
  <si>
    <t>4075.10 · Disposal Pass Thru Rev-Odessa</t>
  </si>
  <si>
    <t>4075.11 · Disposal Revenue-Waterville</t>
  </si>
  <si>
    <t>4075.12 · Disposal Revenue-Mansfield</t>
  </si>
  <si>
    <t>4075.15 · Disposal Pass Thru Rev-George</t>
  </si>
  <si>
    <t>4075.16 · Disposal Passthru Rev-Adams Co</t>
  </si>
  <si>
    <t>4100.06 · Transfer Station Revenue</t>
  </si>
  <si>
    <t>4125.02 · Othello Yard Waste</t>
  </si>
  <si>
    <t>4125.09 · Recycling Revenue-Quincy YW</t>
  </si>
  <si>
    <t>4125.10 · Odessa Yard Waste Recycling</t>
  </si>
  <si>
    <t>4125.13 · Recycling Revenue</t>
  </si>
  <si>
    <t>4125.15 · 4125.15 Yardwast/recycle George</t>
  </si>
  <si>
    <t>4150.08 · Medical Waste Revenue</t>
  </si>
  <si>
    <t>4175.01 · Misc Garbage Revenue-Grant Co</t>
  </si>
  <si>
    <t>4175.06 · Misc Garbage Rev-Late Chg 06</t>
  </si>
  <si>
    <t>4175.08 · Misc Garbage Rev-Med Waste</t>
  </si>
  <si>
    <t>4175.16 · Misc Garbage Revenue-Adams Co</t>
  </si>
  <si>
    <t>estimated from Odrive, not sure what was filed</t>
  </si>
  <si>
    <t>9201.00 · Gain/Loss Sale of Assets</t>
  </si>
  <si>
    <t>5000.00 · Labor</t>
  </si>
  <si>
    <t>5103.00 · Repairs\Shop,Equip &amp; Buildings</t>
  </si>
  <si>
    <t>5104.06 · Repairs\Transfer Shop O&amp;M</t>
  </si>
  <si>
    <t>5105.00 · Container Maintenance</t>
  </si>
  <si>
    <t>5106.00 · Repairs\Collection Equipment</t>
  </si>
  <si>
    <t>5108.00 · Tires and Tubes</t>
  </si>
  <si>
    <t>5109.00 · Service trucks expense</t>
  </si>
  <si>
    <t>5110.00 · Other Maint. &amp; Garage Expenses</t>
  </si>
  <si>
    <t>5111.13 · Recycle Expense</t>
  </si>
  <si>
    <t>5113.06 · Tranfer Tractors Expenses</t>
  </si>
  <si>
    <t>5114.06 · Transfer Trailers Expense</t>
  </si>
  <si>
    <t>5115.06 · O &amp; M Transfer Station</t>
  </si>
  <si>
    <t>5272.00 · Fuel and Oil</t>
  </si>
  <si>
    <t>5271.00 · Fuel &amp; Oil - Other</t>
  </si>
  <si>
    <t>5301.15 · George Disposal</t>
  </si>
  <si>
    <t>5331.01 · Disposal-Grant Co.</t>
  </si>
  <si>
    <t>5331.03 · Disposal-Mattawa</t>
  </si>
  <si>
    <t>5331.04 · Disposal-Royal City</t>
  </si>
  <si>
    <t>5331.05 · Disposal-Warden</t>
  </si>
  <si>
    <t>5331.08 · Medical Waste Disposal Fees</t>
  </si>
  <si>
    <t>5331.10 · Disposal-Odessa</t>
  </si>
  <si>
    <t>5331.11 · Disposal-Waterville</t>
  </si>
  <si>
    <t>5331.12 · Disposal-Mansfield</t>
  </si>
  <si>
    <t>5331.16 · Disposal-Adams Co.</t>
  </si>
  <si>
    <t>5301.00 · Disposal Fees &amp; Charges - Other</t>
  </si>
  <si>
    <t>5398.00 · Shop Rent</t>
  </si>
  <si>
    <t>5351.00 · Lease &amp; Rent Expense - Other</t>
  </si>
  <si>
    <t>5420.00 · Vehicle License &amp; Registration</t>
  </si>
  <si>
    <t>5430.00 · Real Estate/Personal Property</t>
  </si>
  <si>
    <t>5430.16 · Adams Co. Property tax</t>
  </si>
  <si>
    <t>5460.09 · Quincy B&amp;O</t>
  </si>
  <si>
    <t>5460.16 · Adams Co. B&amp;O</t>
  </si>
  <si>
    <t>5460.19 · Hatton B&amp;O Tax</t>
  </si>
  <si>
    <t>5460.01 · Grant Co. B&amp;O</t>
  </si>
  <si>
    <t>5460.02 · Othello B &amp; O</t>
  </si>
  <si>
    <t>5460.03 · MATTAWA B&amp;O</t>
  </si>
  <si>
    <t>5460.04 · Royal City B &amp; O</t>
  </si>
  <si>
    <t>5460.05 · Warden B &amp; O</t>
  </si>
  <si>
    <t>5460.06 · RDC/TRANSFER B &amp; O</t>
  </si>
  <si>
    <t>5460.07 · Ephrata B &amp; O</t>
  </si>
  <si>
    <t>5460.08 · Medical Waste B &amp; O</t>
  </si>
  <si>
    <t>5460.10 · Odessa B&amp;O</t>
  </si>
  <si>
    <t>5460.11 · Waterville B &amp; O</t>
  </si>
  <si>
    <t>5460.12 · Mansfield B &amp; O</t>
  </si>
  <si>
    <t>5460.13 · Recycle B&amp;O Tax</t>
  </si>
  <si>
    <t>5460.15 · George B&amp;O</t>
  </si>
  <si>
    <t>5460.2 · B&amp;O Tax Wilson Creek</t>
  </si>
  <si>
    <t>5485.01 · Grant Co. Utiltiy Tax</t>
  </si>
  <si>
    <t>5485.08 · Med Waste Util Tax Expense</t>
  </si>
  <si>
    <t>5528.10 · Odessa Bond</t>
  </si>
  <si>
    <t>5529.00 · Liability and Propety Damage</t>
  </si>
  <si>
    <t>5530.00 · Workmen's Comp - L &amp; I</t>
  </si>
  <si>
    <t>5531.02 · Othello Bond Expense</t>
  </si>
  <si>
    <t>5532.03 · Mattawa Bond Expense</t>
  </si>
  <si>
    <t>5533.04 · Royal City Bond Expense</t>
  </si>
  <si>
    <t>5534.05 · Warden Bond Expense</t>
  </si>
  <si>
    <t>5536.07 · Ephrata Bond Expense</t>
  </si>
  <si>
    <t>5537.09 · Quincy Bond Expense</t>
  </si>
  <si>
    <t>5538.11 · Waterville Bond Expense</t>
  </si>
  <si>
    <t>5539.12 · Mansfield Bond Expense</t>
  </si>
  <si>
    <t>5540.00 · Fire, Theft and Collision</t>
  </si>
  <si>
    <t>5542.14 · Lind Bond Expense</t>
  </si>
  <si>
    <t>5543.16 · Soap lake Bond</t>
  </si>
  <si>
    <t>5501.00 · Insurance &amp; Bond Expense - Other</t>
  </si>
  <si>
    <t>5400.00 · Tax &amp; License Expense - Other</t>
  </si>
  <si>
    <t>5460.14 · Lind B&amp;O</t>
  </si>
  <si>
    <t>5460.17 · Moses Lake B&amp;O Tax</t>
  </si>
  <si>
    <t>5460.18 · Soap Lake B&amp;O Tax</t>
  </si>
  <si>
    <t>5551.00 · Interest Expense</t>
  </si>
  <si>
    <t>5602 · Employee Welfare 1</t>
  </si>
  <si>
    <t>5601.00 · Employees Welfare - Other</t>
  </si>
  <si>
    <t>5652.00 · Office Expenses</t>
  </si>
  <si>
    <t>5651.00 · Office Expense - Other</t>
  </si>
  <si>
    <t>5682.06 · Transfer Station Admin Fees</t>
  </si>
  <si>
    <t>5702.00 · Radios &amp; Utilities</t>
  </si>
  <si>
    <t>5703.06 · Radio &amp; Utilities</t>
  </si>
  <si>
    <t>5701.00 · Phone, Utilities, &amp; Radio - Other</t>
  </si>
  <si>
    <t>5752.00 · Advertising &amp; Promotion</t>
  </si>
  <si>
    <t>5751.00 · Advertising &amp; Promotions - Other</t>
  </si>
  <si>
    <t>5801.00 · Legal &amp; Accounting</t>
  </si>
  <si>
    <t>5852.00 · Administration Fees</t>
  </si>
  <si>
    <t>5902.00 · Subscriptions &amp; Dues</t>
  </si>
  <si>
    <t>5901.00 · Dues &amp; Subscriptions - Other</t>
  </si>
  <si>
    <t>5952.01 · Uncollectable Rev-Grant Co</t>
  </si>
  <si>
    <t>5952.16 · Uncollectable Rev-Adams Co</t>
  </si>
  <si>
    <t>5997.00 · Bad Debt Recap</t>
  </si>
  <si>
    <t>5998.01 · Bad Debt Recap-Grant Co.</t>
  </si>
  <si>
    <t>5999.16 · Bad Debt Recap-Adams Co.</t>
  </si>
  <si>
    <t>6001.00 · Bank Fees</t>
  </si>
  <si>
    <t>6102.00 · Donation</t>
  </si>
  <si>
    <t>66900 · Reconciliation Discrepancies</t>
  </si>
  <si>
    <t>4999.13 · Recycling Purchase Expense</t>
  </si>
  <si>
    <t>TRANSFER/RECYCLE</t>
  </si>
  <si>
    <t>Adan Nava</t>
  </si>
  <si>
    <t>Dennys Valverde</t>
  </si>
  <si>
    <t>DT</t>
  </si>
  <si>
    <t>Consolidated Disposal Services, Inc.</t>
  </si>
  <si>
    <t>Repairs - Truck #502</t>
  </si>
  <si>
    <t>Differential Repair - Truck #479</t>
  </si>
  <si>
    <t>Transmission Repair - Truck #491</t>
  </si>
  <si>
    <t>Injector and Core Repairs - Truck #482</t>
  </si>
  <si>
    <t>PTO Repairs - Truck #475</t>
  </si>
  <si>
    <t>Repairs - Truck #475</t>
  </si>
  <si>
    <t>Engine Rebuild - Truck #488</t>
  </si>
  <si>
    <t>Engine Rebuild - Truck #482</t>
  </si>
  <si>
    <t>Engine Rebuild - Truck #477</t>
  </si>
  <si>
    <t>Amrep Front Loader - Truck #515</t>
  </si>
  <si>
    <t>2021 Mack LR64 - Truck #515</t>
  </si>
  <si>
    <t>Amrep Front Loader - Truck #514</t>
  </si>
  <si>
    <t>2021 Mack LR64 - Truck #514</t>
  </si>
  <si>
    <t>2021 Amrep Side Loader - Truck #513</t>
  </si>
  <si>
    <t>2021 Mack LR64R - Truck #513</t>
  </si>
  <si>
    <t>2021 Chevy Silverado 5500 #8791</t>
  </si>
  <si>
    <t>Engine Cleaning - Need Truck Number</t>
  </si>
  <si>
    <t>Truck #456 - 2020 GMC Sierra 1500 #419826</t>
  </si>
  <si>
    <t>Truck #509 - Mack GR64F #17996</t>
  </si>
  <si>
    <t>2019 Chevy Silverado #480</t>
  </si>
  <si>
    <t>2019 Chevy Silverado 4500 Truck #512</t>
  </si>
  <si>
    <t>2005 Crane Carrier Labrie Read Loader #444</t>
  </si>
  <si>
    <t>2020 Amrep Drob Box Body Truck #509</t>
  </si>
  <si>
    <t>2020 Mack Anthem Long Haul Truck #510</t>
  </si>
  <si>
    <t>Truck #511 Body</t>
  </si>
  <si>
    <t>2020 Mack FEL Truck #511</t>
  </si>
  <si>
    <t xml:space="preserve">Truck #508 Body </t>
  </si>
  <si>
    <t>Truck #507 Body</t>
  </si>
  <si>
    <t>Truck #504 Body</t>
  </si>
  <si>
    <t>Truck #504 - Mack LR 64 #002244</t>
  </si>
  <si>
    <t>2008 Ford F450 #02760</t>
  </si>
  <si>
    <t>2003 Ford F550 #28962</t>
  </si>
  <si>
    <t>Truck #508 Mack LR64 #002779</t>
  </si>
  <si>
    <t>Truck #507 - Mack LR64 #002778</t>
  </si>
  <si>
    <t>Chevrolet Silverado #851542</t>
  </si>
  <si>
    <t>Truck #503</t>
  </si>
  <si>
    <t>Truck #502</t>
  </si>
  <si>
    <t>GMC Pickups</t>
  </si>
  <si>
    <t>2017 Rolloff</t>
  </si>
  <si>
    <t>2017 Mack/Dadeee SL</t>
  </si>
  <si>
    <t xml:space="preserve">2017 Mack  </t>
  </si>
  <si>
    <t>Loader</t>
  </si>
  <si>
    <t>2016 Mack Long Haul</t>
  </si>
  <si>
    <t>2016 LEU</t>
  </si>
  <si>
    <t>Mack FL</t>
  </si>
  <si>
    <t>Curotto Can</t>
  </si>
  <si>
    <t>Pete/FL</t>
  </si>
  <si>
    <t>Pete/SL</t>
  </si>
  <si>
    <t>Svc Trks</t>
  </si>
  <si>
    <t>Truck</t>
  </si>
  <si>
    <t>06 Truck</t>
  </si>
  <si>
    <t>Service Cars</t>
  </si>
  <si>
    <t>Chassis</t>
  </si>
  <si>
    <t>Chassis/Packer</t>
  </si>
  <si>
    <t>Heil 7000</t>
  </si>
  <si>
    <t>Transfer Trailer</t>
  </si>
  <si>
    <t>Pete/Packer</t>
  </si>
  <si>
    <t>Packer</t>
  </si>
  <si>
    <t xml:space="preserve">Containers                                   </t>
  </si>
  <si>
    <t xml:space="preserve">Recycling Boxes                              </t>
  </si>
  <si>
    <t xml:space="preserve">4yd, 6yd, 8yd Containers                     </t>
  </si>
  <si>
    <t xml:space="preserve">8 yd Containers                              </t>
  </si>
  <si>
    <t xml:space="preserve">4 yd Containers                              </t>
  </si>
  <si>
    <t xml:space="preserve">3 yd Containers                              </t>
  </si>
  <si>
    <t xml:space="preserve">40 yd Containers                             </t>
  </si>
  <si>
    <t xml:space="preserve">6yd Containers                               </t>
  </si>
  <si>
    <t xml:space="preserve">2017 Containers                              </t>
  </si>
  <si>
    <t xml:space="preserve">20 40 Yard Roll Off Containers               </t>
  </si>
  <si>
    <t xml:space="preserve">Bldg                                         </t>
  </si>
  <si>
    <t xml:space="preserve">Impr                                         </t>
  </si>
  <si>
    <t xml:space="preserve">Transfer Station                             </t>
  </si>
  <si>
    <t xml:space="preserve">Wash Bay Door Repair                         </t>
  </si>
  <si>
    <t xml:space="preserve">Parking Lot Chip Seal                        </t>
  </si>
  <si>
    <t xml:space="preserve">Land                                         </t>
  </si>
  <si>
    <t xml:space="preserve">Recycling Equip                              </t>
  </si>
  <si>
    <t xml:space="preserve">OFC EQ                                       </t>
  </si>
  <si>
    <t xml:space="preserve">Shop Equipment                               </t>
  </si>
  <si>
    <t xml:space="preserve">Forklift                                     </t>
  </si>
  <si>
    <t xml:space="preserve">20 ton car jacks                             </t>
  </si>
  <si>
    <t xml:space="preserve">Grizzley 215 SW Base Machine                 </t>
  </si>
  <si>
    <t xml:space="preserve">Scissor Lift                                 </t>
  </si>
  <si>
    <t xml:space="preserve">Big Ass Fans                                 </t>
  </si>
  <si>
    <t xml:space="preserve">Transfer Station Scales                      </t>
  </si>
  <si>
    <t xml:space="preserve">Oil heater for welding shop                  </t>
  </si>
  <si>
    <t xml:space="preserve">Welder/Compressor                            </t>
  </si>
  <si>
    <t xml:space="preserve">Baler Repair                                 </t>
  </si>
  <si>
    <t xml:space="preserve">Loader Wheel/Tires                           </t>
  </si>
  <si>
    <t xml:space="preserve">Cub Cadet Lawn Mower                         </t>
  </si>
  <si>
    <t xml:space="preserve">Copier                                       </t>
  </si>
  <si>
    <t xml:space="preserve">Security Cameras and Alarm                   </t>
  </si>
  <si>
    <t xml:space="preserve">Fire System                                  </t>
  </si>
  <si>
    <t xml:space="preserve">Transfer Station Electrical                  </t>
  </si>
  <si>
    <t xml:space="preserve">Fire System Repairs                          </t>
  </si>
  <si>
    <t xml:space="preserve">Transfer Trailer                             </t>
  </si>
  <si>
    <t>Heil Odessy Packer</t>
  </si>
  <si>
    <t>Trailer - Need Identifying Info</t>
  </si>
  <si>
    <t>Book/Tax Difference</t>
  </si>
  <si>
    <t>Loan Fees #51020065</t>
  </si>
  <si>
    <t>M.L.</t>
  </si>
  <si>
    <t>Quincy Valley</t>
  </si>
  <si>
    <t>AWB</t>
  </si>
  <si>
    <t>Gasoline</t>
  </si>
  <si>
    <t>Date</t>
  </si>
  <si>
    <t>20 40 Yard Drop Box Containers</t>
  </si>
  <si>
    <t>2023 Mack LR64 Truck #517</t>
  </si>
  <si>
    <t>2023 Mack GR64F Truck #516</t>
  </si>
  <si>
    <t>Residential Garbage Revenue - Regulated</t>
  </si>
  <si>
    <t>Residential Garbage Revenue  - Non-regulated</t>
  </si>
  <si>
    <t>Commercial Garbage Revenue - Regulated</t>
  </si>
  <si>
    <t>Commercial Garbage Revenue - Non-regulated</t>
  </si>
  <si>
    <t>Dropbox/Compactor Revenue - Regulated</t>
  </si>
  <si>
    <t>Dropbox/Compactor Revenue - Non-regulated</t>
  </si>
  <si>
    <t>Disposal Pass-Thru Revenue - Regulated</t>
  </si>
  <si>
    <t>Disposal Pass-Thru Revenue - Non-regulated</t>
  </si>
  <si>
    <t>Medical Waste Revenue - Regulated</t>
  </si>
  <si>
    <t>Misc Garbage Revenue - Regulated</t>
  </si>
  <si>
    <t>Misc Garbage Revenue - Non-regulated</t>
  </si>
  <si>
    <t>Recycling Purchase Expense</t>
  </si>
  <si>
    <t>Repairs and Maintenance</t>
  </si>
  <si>
    <t>Medical Waste Disposal</t>
  </si>
  <si>
    <t>Transfer Station Expenses</t>
  </si>
  <si>
    <t>Tires and Tubes</t>
  </si>
  <si>
    <t>Labor</t>
  </si>
  <si>
    <t>Lease Expense and Rent - Other</t>
  </si>
  <si>
    <t>Real Estate and Property Taxes</t>
  </si>
  <si>
    <t>Dues and Subscriptions</t>
  </si>
  <si>
    <t>Non-deductible Expenses</t>
  </si>
  <si>
    <t>Small Equipment Purchases</t>
  </si>
  <si>
    <t>Gain on Sale of Asset(s)</t>
  </si>
  <si>
    <t>Radio, Phone and Utilities Expense</t>
  </si>
  <si>
    <t>Office Expenses</t>
  </si>
  <si>
    <t>Administration Fees</t>
  </si>
  <si>
    <t>Bond Expense</t>
  </si>
  <si>
    <t>Insurance and Bond Expense - Other</t>
  </si>
  <si>
    <t>B&amp;O Taxes</t>
  </si>
  <si>
    <t>Tax and License Expense - Other</t>
  </si>
  <si>
    <t>Liability and Property Damage</t>
  </si>
  <si>
    <t>Vehicle License and Registration</t>
  </si>
  <si>
    <t>Other Taxes and Licenses</t>
  </si>
  <si>
    <t>Utility Tax</t>
  </si>
  <si>
    <t>Employee Welfare</t>
  </si>
  <si>
    <t>Uncollectible Revenues</t>
  </si>
  <si>
    <t>Reconciliation Descrepancies</t>
  </si>
  <si>
    <t>Business Licenses</t>
  </si>
  <si>
    <t>Regulatory Expense</t>
  </si>
  <si>
    <t>Other General Expense</t>
  </si>
  <si>
    <t>Residential Garbage - Regulated</t>
  </si>
  <si>
    <t>Residential Garbage - Non-regulated</t>
  </si>
  <si>
    <t>Commercial Garbage - Regulated</t>
  </si>
  <si>
    <t>Commercial Garbage - Non-regulated</t>
  </si>
  <si>
    <t>Dropbox/Compactor - Regulated</t>
  </si>
  <si>
    <t>Dropbox/Compactor - Non-regulated</t>
  </si>
  <si>
    <t>Disposal Pass-Thru - Regulated</t>
  </si>
  <si>
    <t>Disposal Pass-Thru - Non-regulated</t>
  </si>
  <si>
    <t>Transfer Station - Regulated</t>
  </si>
  <si>
    <t>Yard Waste Recycling - Regulated</t>
  </si>
  <si>
    <t>Yard Waste Recycling - Non-regulated</t>
  </si>
  <si>
    <t>Medical Waste - Regulated</t>
  </si>
  <si>
    <t>Misc Garbage - Regulated</t>
  </si>
  <si>
    <t>Misc Garbage - Non-regulated</t>
  </si>
  <si>
    <t>Medical Waste - Non-regulated</t>
  </si>
  <si>
    <t>Percentage</t>
  </si>
  <si>
    <t>agrees to comp</t>
  </si>
  <si>
    <t>Transfer Station Revenue - Non-regulated</t>
  </si>
  <si>
    <t>Yard Waste &amp; Recycling Revenue - Non-regulated</t>
  </si>
  <si>
    <t>Non-regulated</t>
  </si>
  <si>
    <t>Remove</t>
  </si>
  <si>
    <t>Interest</t>
  </si>
  <si>
    <t>Costs</t>
  </si>
  <si>
    <t>Lease &amp; Rent Expense</t>
  </si>
  <si>
    <t>Residential &amp; Commercial Tons</t>
  </si>
  <si>
    <t>Adams County</t>
  </si>
  <si>
    <t>Disposal Schedule for Tons @ Various Landfills</t>
  </si>
  <si>
    <t>Grant County</t>
  </si>
  <si>
    <t>This entry removes interest expense.</t>
  </si>
  <si>
    <t>Fuel</t>
  </si>
  <si>
    <t>WORKPAPER 10 - RATE CASE COSTS</t>
  </si>
  <si>
    <t>WORKPAPER 4 - DUES AND SUBSCRIPTIONS ANALYSIS</t>
  </si>
  <si>
    <t>WORKPAPER 7 - FUEL ANALYSIS</t>
  </si>
  <si>
    <t>WORKPAPER 8 - BAD DEBTS</t>
  </si>
  <si>
    <t>WORKPAPER 9 - DISPOSAL FEES</t>
  </si>
  <si>
    <t>Restate</t>
  </si>
  <si>
    <t>Record</t>
  </si>
  <si>
    <t>The estimated cost of the rate case, amortized over 3 years, is recorded. See WP-10.</t>
  </si>
  <si>
    <t>Rent paid to D &amp; D Enterprises for real property used by Consolidated Disposal Services, Inc.</t>
  </si>
  <si>
    <t>Wages - Drivers</t>
  </si>
  <si>
    <t>Wages - Mechanics</t>
  </si>
  <si>
    <t>Wages - Office</t>
  </si>
  <si>
    <t>Salary - Officer</t>
  </si>
  <si>
    <t>Wages - Transfer/Recycle</t>
  </si>
  <si>
    <t>Full Name - Text - (required)</t>
  </si>
  <si>
    <t>Monday</t>
  </si>
  <si>
    <t>Tuesday</t>
  </si>
  <si>
    <t>Wednesday</t>
  </si>
  <si>
    <t>Thursday</t>
  </si>
  <si>
    <t>Friday</t>
  </si>
  <si>
    <t>Ken Bellows</t>
  </si>
  <si>
    <t>Mario Cruz</t>
  </si>
  <si>
    <t>Recycle</t>
  </si>
  <si>
    <t>Chris Dahl</t>
  </si>
  <si>
    <t>Corey Everett</t>
  </si>
  <si>
    <t>Jim Fleishman</t>
  </si>
  <si>
    <t>Jeffery Graves</t>
  </si>
  <si>
    <t>100% Franchise</t>
  </si>
  <si>
    <t>Clint H0-Gland</t>
  </si>
  <si>
    <t>Michael Hughes</t>
  </si>
  <si>
    <t>Lester Mather</t>
  </si>
  <si>
    <t>Josh Nations</t>
  </si>
  <si>
    <t>Mark Perry</t>
  </si>
  <si>
    <t>Kevin Ray</t>
  </si>
  <si>
    <t>Scott Webb</t>
  </si>
  <si>
    <t>Tony Williamson</t>
  </si>
  <si>
    <t>N/A</t>
  </si>
  <si>
    <t>Dental - Delta</t>
  </si>
  <si>
    <t>Vision - VSP</t>
  </si>
  <si>
    <t>AVG - Diesel</t>
  </si>
  <si>
    <t>AVG - Gas</t>
  </si>
  <si>
    <t>Diesel</t>
  </si>
  <si>
    <t>Gas</t>
  </si>
  <si>
    <t>401k</t>
  </si>
  <si>
    <t>H.S.A.</t>
  </si>
  <si>
    <t>A payroll analysis is done at period end so an adjustment has been done to reclass payroll.</t>
  </si>
  <si>
    <t>Updated tax rates with 2023 information</t>
  </si>
  <si>
    <t>B</t>
  </si>
  <si>
    <t>Water Meter Line</t>
  </si>
  <si>
    <t>Driveway Access</t>
  </si>
  <si>
    <t>Electrical Inst.</t>
  </si>
  <si>
    <t>Plas &amp; Eng. Bldg.</t>
  </si>
  <si>
    <t>Electrical Conduits</t>
  </si>
  <si>
    <t>Elec Inst.</t>
  </si>
  <si>
    <t>Access Road</t>
  </si>
  <si>
    <t>Crushed Rock</t>
  </si>
  <si>
    <t>Electrical Access Line</t>
  </si>
  <si>
    <t>Sewer</t>
  </si>
  <si>
    <t>Land clearing</t>
  </si>
  <si>
    <t>Sewer hook up</t>
  </si>
  <si>
    <t>New Building</t>
  </si>
  <si>
    <t>Sign</t>
  </si>
  <si>
    <t>Repair Building</t>
  </si>
  <si>
    <t>Building</t>
  </si>
  <si>
    <t>Building Impr.</t>
  </si>
  <si>
    <t>Fence</t>
  </si>
  <si>
    <t xml:space="preserve">Concrete </t>
  </si>
  <si>
    <t>Well</t>
  </si>
  <si>
    <t>Regulated percentage</t>
  </si>
  <si>
    <t>regulated percentage of drivers</t>
  </si>
  <si>
    <t>customers</t>
  </si>
  <si>
    <t>regulated percentage of customers</t>
  </si>
  <si>
    <t>non reg</t>
  </si>
  <si>
    <t>all regulated</t>
  </si>
  <si>
    <t xml:space="preserve">Uncollectible </t>
  </si>
  <si>
    <t>WM rate</t>
  </si>
  <si>
    <t>Grant County Res</t>
  </si>
  <si>
    <t>Grant County Comm</t>
  </si>
  <si>
    <t>Grant County Drop Box</t>
  </si>
  <si>
    <t>Adams County Drop Box</t>
  </si>
  <si>
    <t>Adams County Comm</t>
  </si>
  <si>
    <t>Adams County Res</t>
  </si>
  <si>
    <t>Odessa rate</t>
  </si>
  <si>
    <t>Grant rate</t>
  </si>
  <si>
    <t>Adams rate</t>
  </si>
  <si>
    <t>Adams</t>
  </si>
  <si>
    <t>Grant</t>
  </si>
  <si>
    <t>proof Adams</t>
  </si>
  <si>
    <t>total</t>
  </si>
  <si>
    <t>tb</t>
  </si>
  <si>
    <t>proof grant</t>
  </si>
  <si>
    <t>very close!</t>
  </si>
  <si>
    <t xml:space="preserve"> Regulated Drop Box Tons:  </t>
  </si>
  <si>
    <t>Non-Regulated</t>
  </si>
  <si>
    <t>Regulated</t>
  </si>
  <si>
    <t>Reclass 1</t>
  </si>
  <si>
    <t>Pass through Dispoal</t>
  </si>
  <si>
    <t>drop box</t>
  </si>
  <si>
    <t>comm/res</t>
  </si>
  <si>
    <t>Amrep Body - Truck #517</t>
  </si>
  <si>
    <t>Amrep Body - Truck #516</t>
  </si>
  <si>
    <t>Loan Fees #72606223</t>
  </si>
  <si>
    <t>Depreciation per the financial statements differs from the allowable depreciation for WUTC purposes. This adjustment restates the depreciation. See WP-1.</t>
  </si>
  <si>
    <t>12 Months OT</t>
  </si>
  <si>
    <t>12 Months Reg</t>
  </si>
  <si>
    <t>Transfer Station</t>
  </si>
  <si>
    <t>transfer</t>
  </si>
  <si>
    <t>per ton</t>
  </si>
  <si>
    <t>Jan, Feb tons</t>
  </si>
  <si>
    <t>Comm/Res</t>
  </si>
  <si>
    <t>total outage pass</t>
  </si>
  <si>
    <t>regulated disp</t>
  </si>
  <si>
    <t>Disposal pass through</t>
  </si>
  <si>
    <t>Disposal Pass-Thru Revenue - Non-regulated Transfer station and others</t>
  </si>
  <si>
    <t>x</t>
  </si>
  <si>
    <t>Additives</t>
  </si>
  <si>
    <t>proof</t>
  </si>
  <si>
    <t>Regulated Portion</t>
  </si>
  <si>
    <t>Recycle 2102-04</t>
  </si>
  <si>
    <t>Collection - 4305-18</t>
  </si>
  <si>
    <t>Clerical - 4904-00</t>
  </si>
  <si>
    <t>Amount of Restate</t>
  </si>
  <si>
    <t>Remove Non-Regulated</t>
  </si>
  <si>
    <t>Regulated Depreciation</t>
  </si>
  <si>
    <t>Total Depreciation</t>
  </si>
  <si>
    <t xml:space="preserve">Forecast </t>
  </si>
  <si>
    <t xml:space="preserve">Year </t>
  </si>
  <si>
    <t>Transfer Pay</t>
  </si>
  <si>
    <t>see WP2 pg 2</t>
  </si>
  <si>
    <t>Payroll Tax</t>
  </si>
  <si>
    <t>dbl check</t>
  </si>
  <si>
    <t>drivers</t>
  </si>
  <si>
    <t>3 Adams</t>
  </si>
  <si>
    <t>2 Transfer station</t>
  </si>
  <si>
    <t>payroll</t>
  </si>
  <si>
    <t>Factor</t>
  </si>
  <si>
    <t>unallowed</t>
  </si>
  <si>
    <t>disposal tons</t>
  </si>
  <si>
    <t>revenue</t>
  </si>
  <si>
    <t>Regulated tons to ts by percentage - Grant County</t>
  </si>
  <si>
    <t>Manny</t>
  </si>
  <si>
    <t>Jeff</t>
  </si>
  <si>
    <t>total Grant County drivers</t>
  </si>
  <si>
    <t>percent reg</t>
  </si>
  <si>
    <t>Total Tons</t>
  </si>
  <si>
    <t>this is the regulated tons passing through transfer station</t>
  </si>
  <si>
    <t>total drop box</t>
  </si>
  <si>
    <t>regulated drop box</t>
  </si>
  <si>
    <t>non regulated drop box</t>
  </si>
  <si>
    <t>Less non-regulated: by type</t>
  </si>
  <si>
    <t>Allocation Factor</t>
  </si>
  <si>
    <t>Driver %</t>
  </si>
  <si>
    <t>TS Regulated Tons</t>
  </si>
  <si>
    <t>80% Regulated per Michael</t>
  </si>
  <si>
    <t>HELPERS</t>
  </si>
  <si>
    <t>Wages - Helpers</t>
  </si>
  <si>
    <t>Wages - Helper</t>
  </si>
  <si>
    <t>Helper Wages</t>
  </si>
  <si>
    <t>Allocated</t>
  </si>
  <si>
    <t>Non-regulated payroll</t>
  </si>
  <si>
    <t>Regulated Test Year</t>
  </si>
  <si>
    <t>Proforma Adj</t>
  </si>
  <si>
    <t>Wage Proforma:</t>
  </si>
  <si>
    <t>Premera</t>
  </si>
  <si>
    <t>Non regulated</t>
  </si>
  <si>
    <t>H.S.A</t>
  </si>
  <si>
    <t>Test year benefits</t>
  </si>
  <si>
    <t>Adjust employee benefits to match what was accounted for as company paid on WP-2 pg 3</t>
  </si>
  <si>
    <t>Total Benefits</t>
  </si>
  <si>
    <t>NFIB</t>
  </si>
  <si>
    <t>Columbia</t>
  </si>
  <si>
    <t>Basin</t>
  </si>
  <si>
    <t>Herald</t>
  </si>
  <si>
    <t>EDC</t>
  </si>
  <si>
    <t>Grant Co</t>
  </si>
  <si>
    <t>Quincy</t>
  </si>
  <si>
    <t>Valley</t>
  </si>
  <si>
    <t>Post</t>
  </si>
  <si>
    <t>Total  Dues and Subscriptions per Books</t>
  </si>
  <si>
    <t>100% Regulated</t>
  </si>
  <si>
    <t>Contains Allocable Regulated Portion</t>
  </si>
  <si>
    <t>Agree to Dues and Subscriptions per Books</t>
  </si>
  <si>
    <t>Removed actual, then used drivers</t>
  </si>
  <si>
    <t>Adjustment</t>
  </si>
  <si>
    <t>Benefits</t>
  </si>
  <si>
    <t>and</t>
  </si>
  <si>
    <t>One year of depreciation and amortization on assets placed in service after the test year.  See WP-1 pg. 2</t>
  </si>
  <si>
    <t xml:space="preserve">and </t>
  </si>
  <si>
    <t>WRRA lobbying was already removed from the books as an adjusting journal entry, need to include a restating adjustment to disallow the lobbying portion of NFIB dues.</t>
  </si>
  <si>
    <t>WRRA Lobbying</t>
  </si>
  <si>
    <t>NFIB Lobbying - Restating Adjustment</t>
  </si>
  <si>
    <t xml:space="preserve">0% Regulated </t>
  </si>
  <si>
    <t>This entry removes non-deductible expenses. Charitable contributions are removed as well as the lobbying portion of dues and subscriptions on WP-4.</t>
  </si>
  <si>
    <t>SUI</t>
  </si>
  <si>
    <t>State Tax Rates</t>
  </si>
  <si>
    <t>Purpose - allocate tons going through transfer station</t>
  </si>
  <si>
    <t>Drivers:</t>
  </si>
  <si>
    <t>Per Opertions</t>
  </si>
  <si>
    <t>Agrees</t>
  </si>
  <si>
    <t>Reclass pass through disposal fees</t>
  </si>
  <si>
    <t>Disposal - pass through</t>
  </si>
  <si>
    <t xml:space="preserve">Rate </t>
  </si>
  <si>
    <t>4050.19 · Hatton Comercial DropBox</t>
  </si>
  <si>
    <t>4075.19 · Hatton Disposal Pass thru</t>
  </si>
  <si>
    <t>5485.17 · Moses Lake Utility Tax</t>
  </si>
  <si>
    <t>6051.00 · Regulatory Expenses</t>
  </si>
  <si>
    <t>6101.00 · Donations - Other</t>
  </si>
  <si>
    <t>01/01/23-12/31/23</t>
  </si>
  <si>
    <t>UNASSIGNED</t>
  </si>
  <si>
    <t>Bereavement</t>
  </si>
  <si>
    <t>4174 Misc Garbage Revenue</t>
  </si>
  <si>
    <t>7080 - Other Non-Operating Revenue</t>
  </si>
  <si>
    <t>5212.00 - Depreciation - Buildings and Structures</t>
  </si>
  <si>
    <t>5213.00 - Depreciation - Transfer Station</t>
  </si>
  <si>
    <t>5214.00 - Amortization Expense</t>
  </si>
  <si>
    <t>5215.13 - Recycling Equipment</t>
  </si>
  <si>
    <t>5222.00 - Garbage Collection Equipment</t>
  </si>
  <si>
    <t>5224.00 - Depreciation - Containerization</t>
  </si>
  <si>
    <t>5441.01 - Social Security (FICA)</t>
  </si>
  <si>
    <t>5441.00 - Federal Unemployment</t>
  </si>
  <si>
    <t>5442.00 - State Unemployment</t>
  </si>
  <si>
    <t>6570.00 - Small Equipment Purchase</t>
  </si>
  <si>
    <t>7001.00 - Non-Deductible Expense</t>
  </si>
  <si>
    <t>7010.00 - Other General Expense</t>
  </si>
  <si>
    <t>Other Non-Operating Revenue</t>
  </si>
  <si>
    <t>1/1/2025 Rate</t>
  </si>
  <si>
    <t>If employee was hired during test year or terminated prior to forecast year, recorded hire/termination date as a comment in column D</t>
  </si>
  <si>
    <t>01/01/2023 to 12/31/2023</t>
  </si>
  <si>
    <t>01/01/23 - 12/31/23</t>
  </si>
  <si>
    <t>01/01/24 - 12/31/24</t>
  </si>
  <si>
    <t>Propane</t>
  </si>
  <si>
    <t>Lube</t>
  </si>
  <si>
    <t>Other Repair</t>
  </si>
  <si>
    <t>Bad Debt</t>
  </si>
  <si>
    <t>Affiliated transactions consist of the following as of December 31, 2023:</t>
  </si>
  <si>
    <t>Non-regulated removed on WP-11</t>
  </si>
  <si>
    <t>Odessa Comm &amp; Res</t>
  </si>
  <si>
    <t>M&amp;W Comm &amp; Res</t>
  </si>
  <si>
    <t>all year</t>
  </si>
  <si>
    <t>Anthony</t>
  </si>
  <si>
    <t>Ray</t>
  </si>
  <si>
    <t>Luis</t>
  </si>
  <si>
    <t>Juan</t>
  </si>
  <si>
    <t>Total Forecasted Increase</t>
  </si>
  <si>
    <t xml:space="preserve">Regulated Tons:  </t>
  </si>
  <si>
    <t>The financial forecast presents, to the best of management’s knowledge and belief, the financial position and results of operation of Consolidated Disposal Services, Inc. Accordingly, this forecast reflects management’s judgment as of February 14, 2025, the date of this forecast, of the expected conditions and its’ expected course of action. The assumptions disclosed herein are those that management believes are significant to this forecast. Furthermore, there will usually be differences between the forecasted and actual results, because events and circumstances frequently do not occur as expected, and those differences may be material.</t>
  </si>
  <si>
    <t>The last rate case was file in 2023.  Signficant cost increases are labor and insurance costs.  Additionally, new trucks and other equipment have been purchased during this time.</t>
  </si>
  <si>
    <t>For the Twelve Months Ended December 31, 2023 Historical and March 31, 2026 Forecasted</t>
  </si>
  <si>
    <t>For the Year Ended March 31, 2026</t>
  </si>
  <si>
    <t>Payroll is adjusted to reflect payroll increases, staff attaining benefits, and increases in medical costs, employment security and labor and industry rates in effect as of April 1, 2025.</t>
  </si>
  <si>
    <t>January 2023</t>
  </si>
  <si>
    <t>February 2023</t>
  </si>
  <si>
    <t>March 2023</t>
  </si>
  <si>
    <t>April 2023</t>
  </si>
  <si>
    <t>May 2023</t>
  </si>
  <si>
    <t>June 2023</t>
  </si>
  <si>
    <t>July 2023</t>
  </si>
  <si>
    <t>August 2023</t>
  </si>
  <si>
    <t>September 2023</t>
  </si>
  <si>
    <t>October 2023</t>
  </si>
  <si>
    <t>November 2023</t>
  </si>
  <si>
    <t>December 2023</t>
  </si>
  <si>
    <t>Bad Debt recovery</t>
  </si>
  <si>
    <t>un allowed</t>
  </si>
  <si>
    <t>% Regulated</t>
  </si>
  <si>
    <t>Manny Castaneda</t>
  </si>
  <si>
    <t>TS</t>
  </si>
  <si>
    <t>need recycle percentage for franchise</t>
  </si>
  <si>
    <t>Agrees to G/L</t>
  </si>
  <si>
    <t>Misc, Fees, Etc.</t>
  </si>
  <si>
    <t>related to Connell</t>
  </si>
  <si>
    <t>ok</t>
  </si>
  <si>
    <t>jan</t>
  </si>
  <si>
    <t>P-6</t>
  </si>
  <si>
    <t>Liability</t>
  </si>
  <si>
    <t>vehicle ins</t>
  </si>
  <si>
    <t>Vehicle and liability insurance have both increased dramatically in 2024 WP-12</t>
  </si>
  <si>
    <t>p-6</t>
  </si>
  <si>
    <t>Num</t>
  </si>
  <si>
    <t>Account</t>
  </si>
  <si>
    <t>Jan '23 - Dec 24</t>
  </si>
  <si>
    <t>Check</t>
  </si>
  <si>
    <t>ACH</t>
  </si>
  <si>
    <t>1031 · Banner Bank 1</t>
  </si>
  <si>
    <t>General Journal</t>
  </si>
  <si>
    <t>assumed 11 pays each year</t>
  </si>
  <si>
    <t>Bill Pmt -Check</t>
  </si>
  <si>
    <t>84694</t>
  </si>
  <si>
    <t>84637</t>
  </si>
  <si>
    <t>84529</t>
  </si>
  <si>
    <t>Bill</t>
  </si>
  <si>
    <t>71523</t>
  </si>
  <si>
    <t>2050.00 · Accounts Payable</t>
  </si>
  <si>
    <t>84462</t>
  </si>
  <si>
    <t>53123</t>
  </si>
  <si>
    <t>84375</t>
  </si>
  <si>
    <t>0516</t>
  </si>
  <si>
    <t>84083</t>
  </si>
  <si>
    <t>020123</t>
  </si>
  <si>
    <t>increase</t>
  </si>
  <si>
    <t>86086</t>
  </si>
  <si>
    <t>236594</t>
  </si>
  <si>
    <t>85992</t>
  </si>
  <si>
    <t>85793</t>
  </si>
  <si>
    <t>85701</t>
  </si>
  <si>
    <t>85600</t>
  </si>
  <si>
    <t>85559</t>
  </si>
  <si>
    <t>85556</t>
  </si>
  <si>
    <t>85522</t>
  </si>
  <si>
    <t>229892</t>
  </si>
  <si>
    <t>85298</t>
  </si>
  <si>
    <t>227530</t>
  </si>
  <si>
    <t>227531</t>
  </si>
  <si>
    <t>227532</t>
  </si>
  <si>
    <t>85218</t>
  </si>
  <si>
    <t>13124</t>
  </si>
  <si>
    <t>85123</t>
  </si>
  <si>
    <t>84934</t>
  </si>
  <si>
    <t>222410</t>
  </si>
  <si>
    <t>102323</t>
  </si>
  <si>
    <t>84860</t>
  </si>
  <si>
    <t>219417</t>
  </si>
  <si>
    <t>84669</t>
  </si>
  <si>
    <t>215369</t>
  </si>
  <si>
    <t>84563</t>
  </si>
  <si>
    <t>62123</t>
  </si>
  <si>
    <t>84509</t>
  </si>
  <si>
    <t>60123</t>
  </si>
  <si>
    <t>84447</t>
  </si>
  <si>
    <t>84223</t>
  </si>
  <si>
    <t>212510</t>
  </si>
  <si>
    <t>212389</t>
  </si>
  <si>
    <t>Cenex not recorded in QB for December 2024 yet?</t>
  </si>
  <si>
    <t>Bins, Cont, Toters, DBs</t>
  </si>
  <si>
    <t xml:space="preserve">10-40yd Roll Off Boxes                       </t>
  </si>
  <si>
    <t xml:space="preserve">20 1.5 yd FL                                 </t>
  </si>
  <si>
    <t xml:space="preserve">12-2yd &amp; 4-8yd FL                            </t>
  </si>
  <si>
    <t xml:space="preserve">4-6 yd containers                            </t>
  </si>
  <si>
    <t xml:space="preserve">10-3 yd FL                                   </t>
  </si>
  <si>
    <t xml:space="preserve">6-8yd &amp; 2-40yd                               </t>
  </si>
  <si>
    <t xml:space="preserve">12-2 yd cont                                 </t>
  </si>
  <si>
    <t xml:space="preserve">Lids                                         </t>
  </si>
  <si>
    <t xml:space="preserve">1-3yd &amp; 10-yd fl                             </t>
  </si>
  <si>
    <t xml:space="preserve">Lid locks                                    </t>
  </si>
  <si>
    <t xml:space="preserve">16 -4yd cont                                 </t>
  </si>
  <si>
    <t xml:space="preserve">2 Drop Boxes                                 </t>
  </si>
  <si>
    <t xml:space="preserve">12-3yd &amp; 12-2 yd boxes                       </t>
  </si>
  <si>
    <t xml:space="preserve">6-8yd fl                                     </t>
  </si>
  <si>
    <t xml:space="preserve">3-68 gal &amp; 584 95 gal                        </t>
  </si>
  <si>
    <t xml:space="preserve">6-4 yd cont                                  </t>
  </si>
  <si>
    <t xml:space="preserve">Toters                                       </t>
  </si>
  <si>
    <t xml:space="preserve">10-8yd fl                                    </t>
  </si>
  <si>
    <t xml:space="preserve">12-2yd &amp; 12-4yd cont                         </t>
  </si>
  <si>
    <t xml:space="preserve">10-8yd cont                                  </t>
  </si>
  <si>
    <t xml:space="preserve">6-6yd fl                                     </t>
  </si>
  <si>
    <t xml:space="preserve">12-2 yd fl                                   </t>
  </si>
  <si>
    <t xml:space="preserve">2-50 yd &amp; 1-40yd cont                        </t>
  </si>
  <si>
    <t xml:space="preserve">189-68gal &amp; 256 - 95 gal                     </t>
  </si>
  <si>
    <t xml:space="preserve">5-3yd cont                                   </t>
  </si>
  <si>
    <t xml:space="preserve">5-6 yd cont                                  </t>
  </si>
  <si>
    <t xml:space="preserve">10-4yd cont                                  </t>
  </si>
  <si>
    <t xml:space="preserve">6-2yd cont                                   </t>
  </si>
  <si>
    <t xml:space="preserve">16-3yd cont                                  </t>
  </si>
  <si>
    <t xml:space="preserve">2-6 yd cont                                  </t>
  </si>
  <si>
    <t xml:space="preserve">16-2yd cont                                  </t>
  </si>
  <si>
    <t xml:space="preserve">20-3yd fl                                    </t>
  </si>
  <si>
    <t xml:space="preserve">20-8yf fl                                    </t>
  </si>
  <si>
    <t xml:space="preserve">13-6yd fl                                    </t>
  </si>
  <si>
    <t xml:space="preserve">17-2yd fl                                    </t>
  </si>
  <si>
    <t xml:space="preserve">27-4yd fl                                    </t>
  </si>
  <si>
    <t xml:space="preserve">30-1.5 yd fl                                 </t>
  </si>
  <si>
    <t xml:space="preserve">30 - 1 yd fl                                 </t>
  </si>
  <si>
    <t xml:space="preserve">18-2yd fl                                    </t>
  </si>
  <si>
    <t xml:space="preserve">2 drop boxes                                 </t>
  </si>
  <si>
    <t xml:space="preserve">185-95 gal &amp; 300 - 60 gal                    </t>
  </si>
  <si>
    <t xml:space="preserve">35, 68, 95 gal toters                        </t>
  </si>
  <si>
    <t xml:space="preserve">60 &amp; 100 gal toters                          </t>
  </si>
  <si>
    <t xml:space="preserve">misc cont - quincy                           </t>
  </si>
  <si>
    <t xml:space="preserve">10-6yd 10-4yd fl                             </t>
  </si>
  <si>
    <t xml:space="preserve">75-95 gal toters                             </t>
  </si>
  <si>
    <t xml:space="preserve">20-2yd cont                                  </t>
  </si>
  <si>
    <t xml:space="preserve">20 - 4yd cont                                </t>
  </si>
  <si>
    <t xml:space="preserve">416 95 gal carts                             </t>
  </si>
  <si>
    <t xml:space="preserve">9-8yd cont                                   </t>
  </si>
  <si>
    <t xml:space="preserve">10 ea 2,3,6 yd cont                          </t>
  </si>
  <si>
    <t xml:space="preserve">1664 90 gal toters                           </t>
  </si>
  <si>
    <t xml:space="preserve">10-8yd                                       </t>
  </si>
  <si>
    <t xml:space="preserve">8-8yd fl                                     </t>
  </si>
  <si>
    <t xml:space="preserve">432 95 gal toters                            </t>
  </si>
  <si>
    <t xml:space="preserve">350-60 gal toters                            </t>
  </si>
  <si>
    <t xml:space="preserve">1 8 yd fl                                    </t>
  </si>
  <si>
    <t xml:space="preserve">34 fl cont                                   </t>
  </si>
  <si>
    <t xml:space="preserve">416 toters                                   </t>
  </si>
  <si>
    <t xml:space="preserve">376-95 gal toters                            </t>
  </si>
  <si>
    <t xml:space="preserve">10 -3yd 10-4yd fl                            </t>
  </si>
  <si>
    <t xml:space="preserve">20-2yd 10 3 yd 10-4yd                        </t>
  </si>
  <si>
    <t xml:space="preserve">8-40yd drop boxes                            </t>
  </si>
  <si>
    <t xml:space="preserve">20-8yd fl                                    </t>
  </si>
  <si>
    <t xml:space="preserve">416 95 gal toters                            </t>
  </si>
  <si>
    <t xml:space="preserve">208-95gal &amp; 990-65 gal                       </t>
  </si>
  <si>
    <t xml:space="preserve">437-95 gal                                   </t>
  </si>
  <si>
    <t xml:space="preserve">4-6 yd fl                                    </t>
  </si>
  <si>
    <t xml:space="preserve">20-2yd fl                                    </t>
  </si>
  <si>
    <t xml:space="preserve">3-8 yd fl                                    </t>
  </si>
  <si>
    <t xml:space="preserve">7-8yd fl                                     </t>
  </si>
  <si>
    <t xml:space="preserve">14-6yd fl                                    </t>
  </si>
  <si>
    <t xml:space="preserve">6-4yf fl                                     </t>
  </si>
  <si>
    <t xml:space="preserve">9-4yd fl                                     </t>
  </si>
  <si>
    <t xml:space="preserve">10 rolloff boxes                             </t>
  </si>
  <si>
    <t xml:space="preserve">credenza                                     </t>
  </si>
  <si>
    <t xml:space="preserve">calculator                                   </t>
  </si>
  <si>
    <t xml:space="preserve">freezer                                      </t>
  </si>
  <si>
    <t>Total Bins, Cont, Toters, DBs</t>
  </si>
  <si>
    <t>Disposal/Landfill/TS</t>
  </si>
  <si>
    <t xml:space="preserve">down on baler ts                             </t>
  </si>
  <si>
    <t xml:space="preserve">signs                                        </t>
  </si>
  <si>
    <t xml:space="preserve">Above Ground Truck Scale                     </t>
  </si>
  <si>
    <t xml:space="preserve">Marathon baler                               </t>
  </si>
  <si>
    <t xml:space="preserve">Well pump                                    </t>
  </si>
  <si>
    <t xml:space="preserve">Bew Scale House Operating System             </t>
  </si>
  <si>
    <t xml:space="preserve">Load Displays                                </t>
  </si>
  <si>
    <t>Office Fun &amp; Fixtures</t>
  </si>
  <si>
    <t xml:space="preserve">office radios                                </t>
  </si>
  <si>
    <t xml:space="preserve">chairs cabinet                               </t>
  </si>
  <si>
    <t xml:space="preserve">book case                                    </t>
  </si>
  <si>
    <t xml:space="preserve">Bulletin                                     </t>
  </si>
  <si>
    <t xml:space="preserve">telephone system                             </t>
  </si>
  <si>
    <t>Total Disposal/Landfill/TS</t>
  </si>
  <si>
    <t>Total Office Fun &amp; Fixtures</t>
  </si>
  <si>
    <t>Service Cars &amp; Equipment</t>
  </si>
  <si>
    <t xml:space="preserve">Trailer                                      </t>
  </si>
  <si>
    <t xml:space="preserve">2002 chev pu                                 </t>
  </si>
  <si>
    <t xml:space="preserve">Flatbed tailgate lift                        </t>
  </si>
  <si>
    <t xml:space="preserve">GMC Chev ex cab                              </t>
  </si>
  <si>
    <t xml:space="preserve">2007 1 ton                                   </t>
  </si>
  <si>
    <t xml:space="preserve">Transmission Repair - VIN 62651              </t>
  </si>
  <si>
    <t>Total Service Cars &amp; Equipment</t>
  </si>
  <si>
    <t>Shop &amp; Garage Equipment</t>
  </si>
  <si>
    <t xml:space="preserve">Wheel Loader Alternator                      </t>
  </si>
  <si>
    <t xml:space="preserve">Wheel Loader Injectors                       </t>
  </si>
  <si>
    <t xml:space="preserve">Oil caddy                                    </t>
  </si>
  <si>
    <t xml:space="preserve">rans jack                                    </t>
  </si>
  <si>
    <t xml:space="preserve">Pump &amp; tank system                           </t>
  </si>
  <si>
    <t xml:space="preserve">Rincon                                       </t>
  </si>
  <si>
    <t xml:space="preserve">Hyster Forklift                              </t>
  </si>
  <si>
    <t xml:space="preserve">compressor                                   </t>
  </si>
  <si>
    <t xml:space="preserve">Wash system                                  </t>
  </si>
  <si>
    <t xml:space="preserve">Pressure washer                              </t>
  </si>
  <si>
    <t xml:space="preserve">Fuel station Canopies                        </t>
  </si>
  <si>
    <t xml:space="preserve">Fuel pumps                                   </t>
  </si>
  <si>
    <t xml:space="preserve">Wheel Loader Repairs                         </t>
  </si>
  <si>
    <t xml:space="preserve">Toyota Forklift                              </t>
  </si>
  <si>
    <t xml:space="preserve">MM252 Welder                                 </t>
  </si>
  <si>
    <t>Total Shop &amp; Garage Equipment</t>
  </si>
  <si>
    <t>Structures</t>
  </si>
  <si>
    <t xml:space="preserve">Fencing                                      </t>
  </si>
  <si>
    <t xml:space="preserve">Concerte curbing                             </t>
  </si>
  <si>
    <t xml:space="preserve">Parking lot                                  </t>
  </si>
  <si>
    <t xml:space="preserve">Pavement                                     </t>
  </si>
  <si>
    <t xml:space="preserve">Parking lot and structures                   </t>
  </si>
  <si>
    <t xml:space="preserve">Fences                                       </t>
  </si>
  <si>
    <t>Total Structures</t>
  </si>
  <si>
    <t>SW Collection Equipment</t>
  </si>
  <si>
    <t xml:space="preserve">2023 Western Trailer #000138 </t>
  </si>
  <si>
    <t>2024 Western Trailer #000139</t>
  </si>
  <si>
    <t xml:space="preserve">Truck Body #499                              </t>
  </si>
  <si>
    <t xml:space="preserve">PTO Pump - Truck #???                        </t>
  </si>
  <si>
    <t xml:space="preserve">Repairs - Truck #497                         </t>
  </si>
  <si>
    <t xml:space="preserve">Fuel Pump Repair - Truck #???                </t>
  </si>
  <si>
    <t xml:space="preserve">Cylinder Repair - Truck #???                 </t>
  </si>
  <si>
    <t xml:space="preserve">Repairs - Truck #504                         </t>
  </si>
  <si>
    <t xml:space="preserve">Differential Repairs - Truck #???            </t>
  </si>
  <si>
    <t xml:space="preserve">Rear End Repair - Truck #482                 </t>
  </si>
  <si>
    <t xml:space="preserve">Repairs - Truck #493                         </t>
  </si>
  <si>
    <t xml:space="preserve">Engine Repair - Truck #497                   </t>
  </si>
  <si>
    <t xml:space="preserve">Repairs - Truck #496                         </t>
  </si>
  <si>
    <t xml:space="preserve">Transmission Repair - Truck #502             </t>
  </si>
  <si>
    <t xml:space="preserve">Repairs - Truck #489                         </t>
  </si>
  <si>
    <t xml:space="preserve">Fuel System Repair - Truck #???              </t>
  </si>
  <si>
    <t xml:space="preserve">40' &amp; 20' flatbeds                           </t>
  </si>
  <si>
    <t xml:space="preserve">3 Radios                                     </t>
  </si>
  <si>
    <t xml:space="preserve">3 Refuse trailers                            </t>
  </si>
  <si>
    <t xml:space="preserve">05 Pete 385                                  </t>
  </si>
  <si>
    <t xml:space="preserve">06 Pete 320 w heil 28 yd fl                  </t>
  </si>
  <si>
    <t xml:space="preserve">05 Pete FL                                   </t>
  </si>
  <si>
    <t xml:space="preserve">Front Springs - Truck 490                    </t>
  </si>
  <si>
    <t xml:space="preserve">Transmission Repair - Truck ???              </t>
  </si>
  <si>
    <t xml:space="preserve">Transmission Repair - Truck 493              </t>
  </si>
  <si>
    <t xml:space="preserve">Transmission Repair - Truck 494              </t>
  </si>
  <si>
    <t xml:space="preserve">Suspension Repair - VIN 03702                </t>
  </si>
  <si>
    <t xml:space="preserve">Arm Replacement - Truck ???                  </t>
  </si>
  <si>
    <t xml:space="preserve">Repairs - Truck 481                          </t>
  </si>
  <si>
    <t xml:space="preserve">Transfer Trailer Repairs                     </t>
  </si>
  <si>
    <t>Total SW Collection Equipment</t>
  </si>
  <si>
    <t>Loan Fees #51023761</t>
  </si>
  <si>
    <t>Health</t>
  </si>
  <si>
    <t>Remove life insurance benefit paid to employee as per agreement, regulated portion</t>
  </si>
  <si>
    <t>Mark Wash - office</t>
  </si>
  <si>
    <t xml:space="preserve">life ins </t>
  </si>
  <si>
    <t>payment</t>
  </si>
  <si>
    <t>RC-1, R-6</t>
  </si>
  <si>
    <t>In Support of Tariff 8 effective April 1, 2025</t>
  </si>
  <si>
    <t xml:space="preserve">Net </t>
  </si>
  <si>
    <t>Book Value</t>
  </si>
  <si>
    <t xml:space="preserve">Net Book </t>
  </si>
  <si>
    <t>fully deprec assets added since last case to reconcile assets</t>
  </si>
  <si>
    <t>per operations</t>
  </si>
  <si>
    <t>4 Drivers that go to transfer station for Grant</t>
  </si>
  <si>
    <t>Josh</t>
  </si>
  <si>
    <t>12 other Grant county drivers</t>
  </si>
  <si>
    <t>2025 Mack LR64 - vin 0222 truck 521</t>
  </si>
  <si>
    <t>Front Load Body - vin 0222 truck 521</t>
  </si>
  <si>
    <t>2025 Mack LR64 - vin 0223 truck 523</t>
  </si>
  <si>
    <t>Packer-Auto Loader Body - vin 0223 truck 523</t>
  </si>
  <si>
    <t>2025 Mack vin 1018 tractor truck 520</t>
  </si>
  <si>
    <t>2024 Dodge 1ton flatbed</t>
  </si>
  <si>
    <t>2024 GMC</t>
  </si>
  <si>
    <t>Scale Arm</t>
  </si>
  <si>
    <t>Skid steer</t>
  </si>
  <si>
    <t>2024 Mack LR64R - Truck #519 vin9539</t>
  </si>
  <si>
    <t>Front Load Body - Truck #519 vin 5939</t>
  </si>
  <si>
    <t>2025 Mack LR Truck Vin 9220 Packer Auto Loader Truck 518</t>
  </si>
  <si>
    <t>2024 Mack LR Truck Vin 9274 Truck 517 - wrecked</t>
  </si>
  <si>
    <t>per Mark/Patrick</t>
  </si>
  <si>
    <t>calculated</t>
  </si>
  <si>
    <t>2 Walking Trailers NW Western 53 ft live floor refuse vins 0895 &amp;6</t>
  </si>
  <si>
    <t>Unassigned</t>
  </si>
  <si>
    <t>CMS Med &amp; supp</t>
  </si>
  <si>
    <t>delete employees gone</t>
  </si>
  <si>
    <t>agrees to invoices</t>
  </si>
  <si>
    <t>restate timing</t>
  </si>
  <si>
    <t>Adjust benefits to agree to benefits summary due to timing differences</t>
  </si>
  <si>
    <t>dental</t>
  </si>
  <si>
    <t>health</t>
  </si>
  <si>
    <t>agrees</t>
  </si>
  <si>
    <t>fees</t>
  </si>
  <si>
    <t>restate unknown</t>
  </si>
  <si>
    <t>HSA</t>
  </si>
  <si>
    <t>reg %</t>
  </si>
  <si>
    <t>reclass</t>
  </si>
  <si>
    <t>04/01/2025 to 3/31/2026</t>
  </si>
  <si>
    <t>Dental and</t>
  </si>
  <si>
    <t>Vision</t>
  </si>
  <si>
    <t>check</t>
  </si>
  <si>
    <t>CMS &amp; Supp</t>
  </si>
  <si>
    <t>Disallowed benefits</t>
  </si>
  <si>
    <t>Disallowed officer life</t>
  </si>
  <si>
    <t>Regulated payroll</t>
  </si>
  <si>
    <t xml:space="preserve">Timing </t>
  </si>
  <si>
    <t>Differences</t>
  </si>
  <si>
    <t>Adjust benefits for expenses unable to be substantiated</t>
  </si>
  <si>
    <t>Aflac</t>
  </si>
  <si>
    <t>Unsubstatiated</t>
  </si>
  <si>
    <t>gl</t>
  </si>
  <si>
    <t>agrees to invoices,</t>
  </si>
  <si>
    <t>net of withholding</t>
  </si>
  <si>
    <t>record addtl month</t>
  </si>
  <si>
    <t>late fee</t>
  </si>
  <si>
    <t>disallowed late fee</t>
  </si>
  <si>
    <t>missing month</t>
  </si>
  <si>
    <t>401k fees</t>
  </si>
  <si>
    <t>unum</t>
  </si>
  <si>
    <t>expected allowed</t>
  </si>
  <si>
    <t>ee life allowed</t>
  </si>
  <si>
    <t>other fees</t>
  </si>
  <si>
    <t>food disallowed</t>
  </si>
  <si>
    <t>aflac disallowed</t>
  </si>
  <si>
    <t>since leaving these static no proforma needed</t>
  </si>
  <si>
    <t>prove non reg</t>
  </si>
  <si>
    <t>R-5,7,8 RC-3</t>
  </si>
  <si>
    <t>Adjust revenue in test year for rate increase April 1</t>
  </si>
  <si>
    <t>Residential</t>
  </si>
  <si>
    <t>Commercial</t>
  </si>
  <si>
    <t>Drop Box</t>
  </si>
  <si>
    <t>amount to increase annual revenue</t>
  </si>
  <si>
    <t>Prior increase</t>
  </si>
  <si>
    <t>in test year</t>
  </si>
  <si>
    <t>Key Man insurance maturity</t>
  </si>
  <si>
    <t xml:space="preserve">Correction to prior year </t>
  </si>
  <si>
    <t>number of months</t>
  </si>
  <si>
    <t>January 2023 fuel surcharge revenue</t>
  </si>
  <si>
    <t>Remove fuel surcharge revenue (eff 01/01/2023)</t>
  </si>
  <si>
    <t>Fuel Surcharge</t>
  </si>
  <si>
    <t>R-3 and 9</t>
  </si>
  <si>
    <t>Premium Capital:</t>
  </si>
  <si>
    <t>2023 liability insurance per financials</t>
  </si>
  <si>
    <t>2022 liability insurance per financials</t>
  </si>
  <si>
    <t>05/01/2024 - 04/30/2025</t>
  </si>
  <si>
    <t>Total premiums</t>
  </si>
  <si>
    <t>Total insurance expense per books</t>
  </si>
  <si>
    <t>Insurance increase</t>
  </si>
  <si>
    <t>Regulated portion</t>
  </si>
  <si>
    <t xml:space="preserve">Pro Forma Adjustment </t>
  </si>
  <si>
    <t>From Material Summary</t>
  </si>
  <si>
    <t>Reg tons</t>
  </si>
  <si>
    <t>Nathan Winter</t>
  </si>
  <si>
    <t>Assets purchased after test year at 55%</t>
  </si>
  <si>
    <t>Assets purchased after test year at 45%</t>
  </si>
  <si>
    <t>from last case</t>
  </si>
  <si>
    <t>Per driver study</t>
  </si>
  <si>
    <t xml:space="preserve">Per study </t>
  </si>
  <si>
    <t xml:space="preserve">changed to </t>
  </si>
  <si>
    <t xml:space="preserve"> routes </t>
  </si>
  <si>
    <t>using revenue for allocations</t>
  </si>
  <si>
    <t>all year 2023</t>
  </si>
  <si>
    <t>Pro Forma - Tipping Fee Increase - Revenue from Revised Rates N/A</t>
  </si>
  <si>
    <t>Pro Forma N/A</t>
  </si>
  <si>
    <t>Reclass N/A</t>
  </si>
  <si>
    <t>all nonregulated</t>
  </si>
  <si>
    <t>WORKPAPER 11 - NON-REGULATED</t>
  </si>
  <si>
    <t>WORKPAPER 11 - NON-REGULATED, Continued</t>
  </si>
  <si>
    <t>WORKPAPER 12 - INSURANCE</t>
  </si>
  <si>
    <t>WORKPAPER 12 - INSURANCE, Continued</t>
  </si>
  <si>
    <t>Adjusted fuel expense to reflect price changes in diesel and gasoline. See WP-7.</t>
  </si>
  <si>
    <t xml:space="preserve">This is an analysis of the second insurance policy but we used the total policy amounts on the prior page to do the adjustment. </t>
  </si>
  <si>
    <t xml:space="preserve">This workpaper shows it is reasonable.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</si>
</sst>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
    <numFmt numFmtId="166" formatCode="mm/dd/yy;@"/>
    <numFmt numFmtId="167" formatCode="_(* #,##0.000_);_(* \(#,##0.000\);_(* &quot;-&quot;???_);_(@_)"/>
    <numFmt numFmtId="168" formatCode="&quot;$&quot;#,##0.00"/>
    <numFmt numFmtId="169" formatCode="General_)"/>
    <numFmt numFmtId="170" formatCode="0.0%"/>
    <numFmt numFmtId="171" formatCode="_(* #,##0_);_(* \(#,##0\);_(* &quot;-&quot;??_);_(@_)"/>
    <numFmt numFmtId="172" formatCode="_(* #,##0.00_);_(* \(#,##0.00\);_(* &quot;-&quot;???_);_(@_)"/>
    <numFmt numFmtId="173" formatCode="#,###_);\(#,###\);&quot;-&quot;"/>
    <numFmt numFmtId="174" formatCode="mmmm\ d\,\ yyyy"/>
    <numFmt numFmtId="175" formatCode="_*\ #,###.0,;_(* \(#,###.0,\);_(* &quot;-&quot;??_);_(@_)"/>
    <numFmt numFmtId="176" formatCode="#,##0.0"/>
    <numFmt numFmtId="177" formatCode="[$-F800]dddd\,\ mmmm\ dd\,\ yyyy"/>
    <numFmt numFmtId="178" formatCode="#,##0.0000_);\(#,##0.0000\)"/>
    <numFmt numFmtId="179" formatCode="#,##0.000_);\(#,##0.000\)"/>
    <numFmt numFmtId="180" formatCode="#,##0.00000_);\(#,##0.00000\)"/>
    <numFmt numFmtId="181" formatCode="0.00000"/>
    <numFmt numFmtId="182" formatCode="#,##0.00;\-#,##0.00"/>
    <numFmt numFmtId="183" formatCode="_(* #,##0.00_);_(* \(#,##0.00\);_(* &quot;-&quot;_);_(@_)"/>
    <numFmt numFmtId="184" formatCode="#,##0.0000000000000_);\(#,##0.0000000000000\)"/>
    <numFmt numFmtId="185" formatCode="#,##0.0000"/>
    <numFmt numFmtId="186" formatCode="#,##0.0_);\(#,##0.0\)"/>
    <numFmt numFmtId="187" formatCode="mm/dd/yyyy"/>
    <numFmt numFmtId="188" formatCode="_(* #,##0.00000_);_(* \(#,##0.00000\);_(* &quot;-&quot;_);_(@_)"/>
  </numFmts>
  <fonts count="20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u/>
      <sz val="12"/>
      <name val="Times New Roman"/>
      <family val="1"/>
    </font>
    <font>
      <sz val="12"/>
      <color indexed="10"/>
      <name val="Times New Roman"/>
      <family val="1"/>
    </font>
    <font>
      <b/>
      <sz val="13"/>
      <name val="Times New Roman"/>
      <family val="1"/>
    </font>
    <font>
      <sz val="13"/>
      <name val="Times New Roman"/>
      <family val="1"/>
    </font>
    <font>
      <b/>
      <u/>
      <sz val="10"/>
      <name val="Times New Roman"/>
      <family val="1"/>
    </font>
    <font>
      <b/>
      <sz val="11"/>
      <name val="Times New Roman"/>
      <family val="1"/>
    </font>
    <font>
      <b/>
      <u/>
      <sz val="11"/>
      <name val="Times New Roman"/>
      <family val="1"/>
    </font>
    <font>
      <b/>
      <sz val="18"/>
      <name val="Times New Roman"/>
      <family val="1"/>
    </font>
    <font>
      <sz val="10"/>
      <name val="Arial"/>
      <family val="2"/>
    </font>
    <font>
      <sz val="12"/>
      <name val="SWISS"/>
    </font>
    <font>
      <sz val="12"/>
      <name val="Arial"/>
      <family val="2"/>
    </font>
    <font>
      <sz val="11"/>
      <name val="Arial"/>
      <family val="2"/>
    </font>
    <font>
      <b/>
      <u val="singleAccounting"/>
      <sz val="11"/>
      <name val="Times New Roman"/>
      <family val="1"/>
    </font>
    <font>
      <u/>
      <sz val="11"/>
      <name val="Times New Roman"/>
      <family val="1"/>
    </font>
    <font>
      <b/>
      <sz val="16"/>
      <name val="Times New Roman"/>
      <family val="1"/>
    </font>
    <font>
      <sz val="9"/>
      <color indexed="81"/>
      <name val="Tahoma"/>
      <family val="2"/>
    </font>
    <font>
      <b/>
      <sz val="9"/>
      <color indexed="81"/>
      <name val="Tahoma"/>
      <family val="2"/>
    </font>
    <font>
      <sz val="7"/>
      <name val="Arial"/>
      <family val="2"/>
    </font>
    <font>
      <sz val="7"/>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sz val="12"/>
      <name val="Arial"/>
      <family val="2"/>
    </font>
    <font>
      <sz val="12"/>
      <name val="Arial"/>
      <family val="2"/>
    </font>
    <font>
      <sz val="12"/>
      <name val="Arial"/>
      <family val="2"/>
    </font>
    <font>
      <sz val="12"/>
      <name val="Arial"/>
      <family val="2"/>
    </font>
    <font>
      <sz val="10"/>
      <color indexed="9"/>
      <name val="Arial"/>
      <family val="2"/>
    </font>
    <font>
      <b/>
      <sz val="10"/>
      <color indexed="9"/>
      <name val="Arial"/>
      <family val="2"/>
    </font>
    <font>
      <sz val="11"/>
      <color indexed="8"/>
      <name val="Calibri"/>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b/>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u/>
      <sz val="11"/>
      <color indexed="8"/>
      <name val="Times New Roman"/>
      <family val="1"/>
    </font>
    <font>
      <sz val="12"/>
      <color indexed="60"/>
      <name val="Times New Roman"/>
      <family val="1"/>
    </font>
    <font>
      <sz val="12"/>
      <color indexed="36"/>
      <name val="Times New Roman"/>
      <family val="1"/>
    </font>
    <font>
      <sz val="12"/>
      <color indexed="10"/>
      <name val="Times New Roman"/>
      <family val="1"/>
    </font>
    <font>
      <sz val="9"/>
      <color indexed="60"/>
      <name val="Times New Roman"/>
      <family val="1"/>
    </font>
    <font>
      <b/>
      <sz val="12"/>
      <color indexed="10"/>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2"/>
      <name val="Arial"/>
      <family val="2"/>
    </font>
    <font>
      <sz val="10"/>
      <color theme="1"/>
      <name val="Arial"/>
      <family val="2"/>
    </font>
    <font>
      <sz val="11"/>
      <color theme="1"/>
      <name val="Calibri"/>
      <family val="2"/>
      <scheme val="minor"/>
    </font>
    <font>
      <sz val="12"/>
      <color theme="1"/>
      <name val="Times New Roman"/>
      <family val="2"/>
    </font>
    <font>
      <sz val="12"/>
      <color theme="1"/>
      <name val="Times New Roman"/>
      <family val="1"/>
    </font>
    <font>
      <sz val="12"/>
      <color rgb="FFC00000"/>
      <name val="Times New Roman"/>
      <family val="1"/>
    </font>
    <font>
      <b/>
      <sz val="12"/>
      <color rgb="FFC00000"/>
      <name val="Times New Roman"/>
      <family val="1"/>
    </font>
    <font>
      <sz val="11"/>
      <color theme="1"/>
      <name val="Times New Roman"/>
      <family val="2"/>
    </font>
    <font>
      <b/>
      <sz val="11"/>
      <color theme="1"/>
      <name val="Times New Roman"/>
      <family val="1"/>
    </font>
    <font>
      <b/>
      <sz val="12"/>
      <color theme="1"/>
      <name val="Times New Roman"/>
      <family val="1"/>
    </font>
    <font>
      <sz val="11"/>
      <color theme="1"/>
      <name val="Times New Roman"/>
      <family val="1"/>
    </font>
    <font>
      <b/>
      <sz val="10"/>
      <color theme="1"/>
      <name val="Times New Roman"/>
      <family val="1"/>
    </font>
    <font>
      <b/>
      <sz val="13"/>
      <color theme="1"/>
      <name val="Times New Roman"/>
      <family val="1"/>
    </font>
    <font>
      <sz val="12"/>
      <color theme="1"/>
      <name val="Arial"/>
      <family val="2"/>
    </font>
    <font>
      <sz val="11"/>
      <color theme="1"/>
      <name val="Arial"/>
      <family val="2"/>
    </font>
    <font>
      <sz val="8"/>
      <color theme="1"/>
      <name val="Times New Roman"/>
      <family val="1"/>
    </font>
    <font>
      <sz val="12"/>
      <color theme="1" tint="4.9989318521683403E-2"/>
      <name val="Times New Roman"/>
      <family val="1"/>
    </font>
    <font>
      <sz val="10"/>
      <color rgb="FF00B050"/>
      <name val="Calibri"/>
      <family val="2"/>
    </font>
    <font>
      <sz val="11"/>
      <color rgb="FF00B050"/>
      <name val="Calibri"/>
      <family val="2"/>
    </font>
    <font>
      <sz val="12"/>
      <color rgb="FF00B050"/>
      <name val="Times New Roman"/>
      <family val="1"/>
    </font>
    <font>
      <sz val="12"/>
      <color rgb="FF00B050"/>
      <name val="Arial"/>
      <family val="2"/>
    </font>
    <font>
      <sz val="11"/>
      <color rgb="FF00B050"/>
      <name val="Times New Roman"/>
      <family val="1"/>
    </font>
    <font>
      <sz val="12"/>
      <color rgb="FF00B050"/>
      <name val="Times New Roman"/>
      <family val="2"/>
    </font>
    <font>
      <sz val="12"/>
      <color rgb="FFFF0000"/>
      <name val="Times New Roman"/>
      <family val="1"/>
    </font>
    <font>
      <sz val="10"/>
      <color rgb="FF00B050"/>
      <name val="Times New Roman"/>
      <family val="1"/>
    </font>
    <font>
      <sz val="12"/>
      <name val="Calibri"/>
      <family val="2"/>
    </font>
    <font>
      <sz val="12"/>
      <color theme="0"/>
      <name val="Times New Roman"/>
      <family val="1"/>
    </font>
    <font>
      <sz val="11"/>
      <color theme="0"/>
      <name val="Calibri"/>
      <family val="2"/>
      <scheme val="minor"/>
    </font>
    <font>
      <sz val="12"/>
      <color indexed="12"/>
      <name val="SWISS"/>
    </font>
    <font>
      <b/>
      <sz val="12"/>
      <name val="SWISS"/>
    </font>
    <font>
      <sz val="8"/>
      <color indexed="9"/>
      <name val="Calibri"/>
      <family val="2"/>
    </font>
    <font>
      <sz val="14"/>
      <color indexed="9"/>
      <name val="Calibri"/>
      <family val="2"/>
    </font>
    <font>
      <b/>
      <sz val="14"/>
      <name val="SWISS"/>
    </font>
    <font>
      <sz val="9"/>
      <color rgb="FF0070C0"/>
      <name val="SWISS"/>
    </font>
    <font>
      <b/>
      <sz val="12"/>
      <color indexed="12"/>
      <name val="Times New Roman"/>
      <family val="1"/>
    </font>
    <font>
      <sz val="12"/>
      <color indexed="39"/>
      <name val="SWISS"/>
    </font>
    <font>
      <sz val="12"/>
      <color indexed="39"/>
      <name val="Times New Roman"/>
      <family val="1"/>
    </font>
    <font>
      <b/>
      <sz val="12"/>
      <color indexed="39"/>
      <name val="Times New Roman"/>
      <family val="1"/>
    </font>
    <font>
      <sz val="12"/>
      <color indexed="10"/>
      <name val="SWISS"/>
    </font>
    <font>
      <sz val="12"/>
      <color indexed="8"/>
      <name val="SWISS"/>
    </font>
    <font>
      <sz val="9"/>
      <color indexed="39"/>
      <name val="Times New Roman"/>
      <family val="1"/>
    </font>
    <font>
      <u/>
      <sz val="12"/>
      <color indexed="12"/>
      <name val="Times New Roman"/>
      <family val="1"/>
    </font>
    <font>
      <b/>
      <u/>
      <sz val="12"/>
      <color indexed="39"/>
      <name val="Times New Roman"/>
      <family val="1"/>
    </font>
    <font>
      <sz val="12"/>
      <color indexed="18"/>
      <name val="Times New Roman"/>
      <family val="1"/>
    </font>
    <font>
      <u/>
      <sz val="12"/>
      <color indexed="8"/>
      <name val="Times New Roman"/>
      <family val="1"/>
    </font>
    <font>
      <sz val="12"/>
      <color indexed="32"/>
      <name val="SWISS"/>
    </font>
    <font>
      <sz val="12"/>
      <color indexed="18"/>
      <name val="SWISS"/>
    </font>
    <font>
      <b/>
      <sz val="10"/>
      <name val="SWISS"/>
    </font>
    <font>
      <sz val="12"/>
      <color indexed="56"/>
      <name val="SWISS"/>
    </font>
    <font>
      <i/>
      <sz val="12"/>
      <name val="SWISS"/>
    </font>
    <font>
      <sz val="10"/>
      <color indexed="39"/>
      <name val="Times New Roman"/>
      <family val="1"/>
    </font>
    <font>
      <sz val="10"/>
      <color indexed="18"/>
      <name val="Times New Roman"/>
      <family val="1"/>
    </font>
    <font>
      <sz val="8"/>
      <color rgb="FF000000"/>
      <name val="Arial"/>
      <family val="2"/>
    </font>
    <font>
      <sz val="12"/>
      <color theme="3"/>
      <name val="Times New Roman"/>
      <family val="1"/>
    </font>
    <font>
      <sz val="8"/>
      <name val="Arial"/>
      <family val="2"/>
    </font>
    <font>
      <b/>
      <sz val="8"/>
      <color rgb="FF000000"/>
      <name val="Arial"/>
      <family val="2"/>
    </font>
    <font>
      <sz val="12"/>
      <color rgb="FFFF0000"/>
      <name val="Arial"/>
      <family val="2"/>
    </font>
    <font>
      <sz val="10"/>
      <color rgb="FFFF0000"/>
      <name val="Times New Roman"/>
      <family val="1"/>
    </font>
    <font>
      <sz val="8"/>
      <name val="Arial"/>
      <family val="2"/>
    </font>
    <font>
      <sz val="12"/>
      <name val="Arial"/>
      <family val="2"/>
    </font>
    <font>
      <b/>
      <sz val="12"/>
      <color rgb="FFFF0000"/>
      <name val="Arial"/>
      <family val="2"/>
    </font>
    <font>
      <sz val="12"/>
      <color rgb="FFFF0000"/>
      <name val="Ariel"/>
    </font>
    <font>
      <b/>
      <sz val="12"/>
      <color rgb="FFFF0000"/>
      <name val="Times New Roman"/>
      <family val="1"/>
    </font>
    <font>
      <sz val="11"/>
      <color rgb="FF00B050"/>
      <name val="Times New Roman"/>
      <family val="2"/>
    </font>
    <font>
      <sz val="11"/>
      <color rgb="FFFF0000"/>
      <name val="Times New Roman"/>
      <family val="2"/>
    </font>
    <font>
      <u/>
      <sz val="12"/>
      <name val="Times New Roman"/>
      <family val="1"/>
    </font>
    <font>
      <sz val="11"/>
      <color rgb="FFFF0000"/>
      <name val="Calibri"/>
      <family val="2"/>
    </font>
    <font>
      <b/>
      <sz val="9"/>
      <color theme="1"/>
      <name val="Times New Roman"/>
      <family val="1"/>
    </font>
    <font>
      <sz val="12"/>
      <color rgb="FF0070C0"/>
      <name val="Times New Roman"/>
      <family val="1"/>
    </font>
    <font>
      <sz val="11"/>
      <color theme="2" tint="-0.89999084444715716"/>
      <name val="Times New Roman"/>
      <family val="1"/>
    </font>
    <font>
      <sz val="12"/>
      <color theme="2" tint="-0.89999084444715716"/>
      <name val="Arial"/>
      <family val="2"/>
    </font>
    <font>
      <sz val="11"/>
      <color theme="1" tint="4.9989318521683403E-2"/>
      <name val="Times New Roman"/>
      <family val="1"/>
    </font>
    <font>
      <sz val="16"/>
      <name val="Times New Roman"/>
      <family val="1"/>
    </font>
    <font>
      <sz val="12"/>
      <color theme="2" tint="-0.89999084444715716"/>
      <name val="Times New Roman"/>
      <family val="1"/>
    </font>
    <font>
      <b/>
      <sz val="12"/>
      <color theme="1" tint="4.9989318521683403E-2"/>
      <name val="Times New Roman"/>
      <family val="1"/>
    </font>
    <font>
      <b/>
      <sz val="12"/>
      <color theme="1" tint="4.9989318521683403E-2"/>
      <name val="Arial"/>
      <family val="2"/>
    </font>
    <font>
      <sz val="12"/>
      <color theme="1" tint="4.9989318521683403E-2"/>
      <name val="Arial"/>
      <family val="2"/>
    </font>
    <font>
      <sz val="12"/>
      <color theme="1" tint="4.9989318521683403E-2"/>
      <name val="Ariel"/>
    </font>
    <font>
      <sz val="11"/>
      <color rgb="FF9C0006"/>
      <name val="Calibri"/>
      <family val="2"/>
      <scheme val="minor"/>
    </font>
    <font>
      <sz val="11"/>
      <name val="Calibri"/>
      <family val="2"/>
      <scheme val="minor"/>
    </font>
    <font>
      <sz val="12"/>
      <color rgb="FF7030A0"/>
      <name val="Times New Roman"/>
      <family val="1"/>
    </font>
    <font>
      <u/>
      <sz val="12"/>
      <color rgb="FFFF0000"/>
      <name val="Times New Roman"/>
      <family val="1"/>
    </font>
    <font>
      <b/>
      <sz val="11"/>
      <name val="Calibri"/>
      <family val="2"/>
      <scheme val="minor"/>
    </font>
    <font>
      <sz val="11"/>
      <color theme="1"/>
      <name val="Calibri"/>
      <family val="2"/>
    </font>
    <font>
      <sz val="11"/>
      <name val="Calibri"/>
      <family val="2"/>
    </font>
    <font>
      <b/>
      <u/>
      <sz val="12"/>
      <color rgb="FF00B050"/>
      <name val="Times New Roman"/>
      <family val="1"/>
    </font>
    <font>
      <b/>
      <sz val="12"/>
      <color rgb="FF00B050"/>
      <name val="Times New Roman"/>
      <family val="1"/>
    </font>
  </fonts>
  <fills count="45">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theme="8"/>
      </patternFill>
    </fill>
    <fill>
      <patternFill patternType="solid">
        <fgColor indexed="15"/>
        <bgColor indexed="64"/>
      </patternFill>
    </fill>
    <fill>
      <patternFill patternType="solid">
        <fgColor rgb="FFFFFF00"/>
        <bgColor indexed="64"/>
      </patternFill>
    </fill>
    <fill>
      <patternFill patternType="solid">
        <fgColor indexed="9"/>
        <bgColor indexed="8"/>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C7CE"/>
      </patternFill>
    </fill>
    <fill>
      <patternFill patternType="solid">
        <fgColor theme="8" tint="0.79998168889431442"/>
        <bgColor indexed="64"/>
      </patternFill>
    </fill>
  </fills>
  <borders count="76">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right/>
      <top style="thin">
        <color indexed="8"/>
      </top>
      <bottom style="thin">
        <color indexed="8"/>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ck">
        <color indexed="8"/>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double">
        <color indexed="64"/>
      </bottom>
      <diagonal/>
    </border>
    <border>
      <left/>
      <right/>
      <top style="thin">
        <color theme="4" tint="-0.24994659260841701"/>
      </top>
      <bottom style="double">
        <color theme="4" tint="-0.2499465926084170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ck">
        <color auto="1"/>
      </left>
      <right/>
      <top/>
      <bottom/>
      <diagonal/>
    </border>
    <border>
      <left/>
      <right style="thick">
        <color indexed="8"/>
      </right>
      <top/>
      <bottom/>
      <diagonal/>
    </border>
    <border>
      <left style="medium">
        <color indexed="64"/>
      </left>
      <right style="medium">
        <color indexed="64"/>
      </right>
      <top style="medium">
        <color indexed="64"/>
      </top>
      <bottom style="medium">
        <color indexed="64"/>
      </bottom>
      <diagonal/>
    </border>
    <border>
      <left/>
      <right/>
      <top style="thin">
        <color indexed="8"/>
      </top>
      <bottom style="thin">
        <color indexed="8"/>
      </bottom>
      <diagonal/>
    </border>
    <border>
      <left/>
      <right style="thick">
        <color indexed="64"/>
      </right>
      <top/>
      <bottom/>
      <diagonal/>
    </border>
    <border>
      <left/>
      <right style="thick">
        <color indexed="64"/>
      </right>
      <top style="thin">
        <color indexed="8"/>
      </top>
      <bottom style="thin">
        <color indexed="8"/>
      </bottom>
      <diagonal/>
    </border>
    <border>
      <left/>
      <right style="thick">
        <color indexed="64"/>
      </right>
      <top/>
      <bottom style="double">
        <color indexed="8"/>
      </bottom>
      <diagonal/>
    </border>
    <border>
      <left/>
      <right/>
      <top style="thin">
        <color indexed="8"/>
      </top>
      <bottom/>
      <diagonal/>
    </border>
    <border>
      <left/>
      <right/>
      <top style="double">
        <color indexed="64"/>
      </top>
      <bottom style="medium">
        <color indexed="64"/>
      </bottom>
      <diagonal/>
    </border>
    <border>
      <left/>
      <right/>
      <top/>
      <bottom style="thick">
        <color indexed="64"/>
      </bottom>
      <diagonal/>
    </border>
    <border>
      <left/>
      <right style="thick">
        <color indexed="8"/>
      </right>
      <top/>
      <bottom style="thin">
        <color indexed="64"/>
      </bottom>
      <diagonal/>
    </border>
    <border>
      <left/>
      <right style="thick">
        <color indexed="64"/>
      </right>
      <top/>
      <bottom style="thin">
        <color indexed="8"/>
      </bottom>
      <diagonal/>
    </border>
  </borders>
  <cellStyleXfs count="453">
    <xf numFmtId="37" fontId="0" fillId="0" borderId="0"/>
    <xf numFmtId="0" fontId="51" fillId="3" borderId="0" applyNumberFormat="0" applyBorder="0" applyAlignment="0" applyProtection="0"/>
    <xf numFmtId="0" fontId="51" fillId="2" borderId="0" applyNumberFormat="0" applyBorder="0" applyAlignment="0" applyProtection="0"/>
    <xf numFmtId="0" fontId="51" fillId="5" borderId="0" applyNumberFormat="0" applyBorder="0" applyAlignment="0" applyProtection="0"/>
    <xf numFmtId="0" fontId="51" fillId="7" borderId="0" applyNumberFormat="0" applyBorder="0" applyAlignment="0" applyProtection="0"/>
    <xf numFmtId="0" fontId="51" fillId="3"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7" borderId="0" applyNumberFormat="0" applyBorder="0" applyAlignment="0" applyProtection="0"/>
    <xf numFmtId="0" fontId="51" fillId="3"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12" borderId="0" applyNumberFormat="0" applyBorder="0" applyAlignment="0" applyProtection="0"/>
    <xf numFmtId="0" fontId="51" fillId="3" borderId="0" applyNumberFormat="0" applyBorder="0" applyAlignment="0" applyProtection="0"/>
    <xf numFmtId="0" fontId="51" fillId="8" borderId="0" applyNumberFormat="0" applyBorder="0" applyAlignment="0" applyProtection="0"/>
    <xf numFmtId="0" fontId="51" fillId="10"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96" fillId="15" borderId="0" applyNumberFormat="0" applyBorder="0" applyAlignment="0" applyProtection="0"/>
    <xf numFmtId="0" fontId="96" fillId="14" borderId="0" applyNumberFormat="0" applyBorder="0" applyAlignment="0" applyProtection="0"/>
    <xf numFmtId="0" fontId="96" fillId="5" borderId="0" applyNumberFormat="0" applyBorder="0" applyAlignment="0" applyProtection="0"/>
    <xf numFmtId="0" fontId="96" fillId="12" borderId="0" applyNumberFormat="0" applyBorder="0" applyAlignment="0" applyProtection="0"/>
    <xf numFmtId="0" fontId="96" fillId="11" borderId="0" applyNumberFormat="0" applyBorder="0" applyAlignment="0" applyProtection="0"/>
    <xf numFmtId="0" fontId="96" fillId="3" borderId="0" applyNumberFormat="0" applyBorder="0" applyAlignment="0" applyProtection="0"/>
    <xf numFmtId="0" fontId="96" fillId="16" borderId="0" applyNumberFormat="0" applyBorder="0" applyAlignment="0" applyProtection="0"/>
    <xf numFmtId="0" fontId="96" fillId="15" borderId="0" applyNumberFormat="0" applyBorder="0" applyAlignment="0" applyProtection="0"/>
    <xf numFmtId="0" fontId="96" fillId="5" borderId="0" applyNumberFormat="0" applyBorder="0" applyAlignment="0" applyProtection="0"/>
    <xf numFmtId="0" fontId="96" fillId="15"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0" borderId="0" applyNumberFormat="0" applyBorder="0" applyAlignment="0" applyProtection="0"/>
    <xf numFmtId="41" fontId="15" fillId="0" borderId="0"/>
    <xf numFmtId="41" fontId="15" fillId="0" borderId="0"/>
    <xf numFmtId="41" fontId="15" fillId="0" borderId="0"/>
    <xf numFmtId="41" fontId="15" fillId="0" borderId="0"/>
    <xf numFmtId="0" fontId="88" fillId="4" borderId="0" applyNumberFormat="0" applyBorder="0" applyAlignment="0" applyProtection="0"/>
    <xf numFmtId="3" fontId="15" fillId="0" borderId="0"/>
    <xf numFmtId="3" fontId="15" fillId="0" borderId="0"/>
    <xf numFmtId="3" fontId="15" fillId="0" borderId="0"/>
    <xf numFmtId="3" fontId="15" fillId="0" borderId="0"/>
    <xf numFmtId="168" fontId="53" fillId="0" borderId="0" applyFill="0"/>
    <xf numFmtId="168" fontId="53" fillId="0" borderId="0">
      <alignment horizontal="center"/>
    </xf>
    <xf numFmtId="0" fontId="53" fillId="0" borderId="0" applyFill="0">
      <alignment horizontal="center"/>
    </xf>
    <xf numFmtId="168" fontId="54" fillId="0" borderId="1" applyFill="0"/>
    <xf numFmtId="0" fontId="15" fillId="0" borderId="0" applyFont="0" applyAlignment="0"/>
    <xf numFmtId="0" fontId="55" fillId="0" borderId="0" applyFill="0">
      <alignment vertical="top"/>
    </xf>
    <xf numFmtId="0" fontId="54" fillId="0" borderId="0" applyFill="0">
      <alignment horizontal="left" vertical="top"/>
    </xf>
    <xf numFmtId="168" fontId="8" fillId="0" borderId="2" applyFill="0"/>
    <xf numFmtId="0" fontId="15" fillId="0" borderId="0" applyNumberFormat="0" applyFont="0" applyAlignment="0"/>
    <xf numFmtId="0" fontId="55" fillId="0" borderId="0" applyFill="0">
      <alignment wrapText="1"/>
    </xf>
    <xf numFmtId="0" fontId="54" fillId="0" borderId="0" applyFill="0">
      <alignment horizontal="left" vertical="top" wrapText="1"/>
    </xf>
    <xf numFmtId="168" fontId="56" fillId="0" borderId="0" applyFill="0"/>
    <xf numFmtId="0" fontId="57" fillId="0" borderId="0" applyNumberFormat="0" applyFont="0" applyAlignment="0">
      <alignment horizontal="center"/>
    </xf>
    <xf numFmtId="0" fontId="58" fillId="0" borderId="0" applyFill="0">
      <alignment vertical="top" wrapText="1"/>
    </xf>
    <xf numFmtId="0" fontId="8" fillId="0" borderId="0" applyFill="0">
      <alignment horizontal="left" vertical="top" wrapText="1"/>
    </xf>
    <xf numFmtId="168" fontId="15" fillId="0" borderId="0" applyFill="0"/>
    <xf numFmtId="0" fontId="57" fillId="0" borderId="0" applyNumberFormat="0" applyFont="0" applyAlignment="0">
      <alignment horizontal="center"/>
    </xf>
    <xf numFmtId="0" fontId="59" fillId="0" borderId="0" applyFill="0">
      <alignment vertical="center" wrapText="1"/>
    </xf>
    <xf numFmtId="0" fontId="9" fillId="0" borderId="0">
      <alignment horizontal="left" vertical="center" wrapText="1"/>
    </xf>
    <xf numFmtId="168" fontId="43" fillId="0" borderId="0" applyFill="0"/>
    <xf numFmtId="0" fontId="57" fillId="0" borderId="0" applyNumberFormat="0" applyFont="0" applyAlignment="0">
      <alignment horizontal="center"/>
    </xf>
    <xf numFmtId="0" fontId="60" fillId="0" borderId="0" applyFill="0">
      <alignment horizontal="center" vertical="center" wrapText="1"/>
    </xf>
    <xf numFmtId="0" fontId="15" fillId="0" borderId="0" applyFill="0">
      <alignment horizontal="center" vertical="center" wrapText="1"/>
    </xf>
    <xf numFmtId="168" fontId="61" fillId="0" borderId="0" applyFill="0"/>
    <xf numFmtId="0" fontId="57" fillId="0" borderId="0" applyNumberFormat="0" applyFont="0" applyAlignment="0">
      <alignment horizontal="center"/>
    </xf>
    <xf numFmtId="0" fontId="62" fillId="0" borderId="0" applyFill="0">
      <alignment horizontal="center" vertical="center" wrapText="1"/>
    </xf>
    <xf numFmtId="0" fontId="63" fillId="0" borderId="0" applyFill="0">
      <alignment horizontal="center" vertical="center" wrapText="1"/>
    </xf>
    <xf numFmtId="168" fontId="64" fillId="0" borderId="0" applyFill="0"/>
    <xf numFmtId="0" fontId="57" fillId="0" borderId="0" applyNumberFormat="0" applyFont="0" applyAlignment="0">
      <alignment horizontal="center"/>
    </xf>
    <xf numFmtId="0" fontId="65" fillId="0" borderId="0">
      <alignment horizontal="center" wrapText="1"/>
    </xf>
    <xf numFmtId="0" fontId="61" fillId="0" borderId="0" applyFill="0">
      <alignment horizontal="center" wrapText="1"/>
    </xf>
    <xf numFmtId="0" fontId="90" fillId="22" borderId="3" applyNumberFormat="0" applyAlignment="0" applyProtection="0"/>
    <xf numFmtId="0" fontId="90" fillId="3" borderId="3" applyNumberFormat="0" applyAlignment="0" applyProtection="0"/>
    <xf numFmtId="0" fontId="92" fillId="23" borderId="4" applyNumberFormat="0" applyAlignment="0" applyProtection="0"/>
    <xf numFmtId="0" fontId="15" fillId="24" borderId="0">
      <alignment horizontal="center"/>
    </xf>
    <xf numFmtId="43" fontId="12"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173" fontId="16"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7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7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7" fillId="0" borderId="0"/>
    <xf numFmtId="3" fontId="15" fillId="0" borderId="0" applyFill="0" applyBorder="0" applyAlignment="0" applyProtection="0"/>
    <xf numFmtId="0" fontId="97" fillId="0" borderId="0"/>
    <xf numFmtId="0" fontId="97" fillId="0" borderId="0"/>
    <xf numFmtId="0" fontId="98" fillId="25" borderId="5" applyAlignment="0">
      <alignment horizontal="right"/>
      <protection locked="0"/>
    </xf>
    <xf numFmtId="44" fontId="7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3"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9" fillId="0" borderId="0" applyFont="0" applyFill="0" applyBorder="0" applyAlignment="0" applyProtection="0"/>
    <xf numFmtId="44" fontId="16"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74" fillId="0" borderId="0" applyFont="0" applyFill="0" applyBorder="0" applyAlignment="0" applyProtection="0"/>
    <xf numFmtId="44" fontId="53"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5" fontId="15" fillId="0" borderId="0" applyFill="0" applyBorder="0" applyAlignment="0" applyProtection="0"/>
    <xf numFmtId="0" fontId="100" fillId="26" borderId="0">
      <alignment horizontal="right"/>
      <protection locked="0"/>
    </xf>
    <xf numFmtId="174" fontId="15" fillId="0" borderId="0" applyFill="0" applyBorder="0" applyAlignment="0" applyProtection="0"/>
    <xf numFmtId="14" fontId="15" fillId="0" borderId="0"/>
    <xf numFmtId="0" fontId="94" fillId="0" borderId="0" applyNumberFormat="0" applyFill="0" applyBorder="0" applyAlignment="0" applyProtection="0"/>
    <xf numFmtId="2" fontId="100" fillId="26" borderId="0">
      <alignment horizontal="right"/>
      <protection locked="0"/>
    </xf>
    <xf numFmtId="1" fontId="15" fillId="0" borderId="0">
      <alignment horizontal="center"/>
    </xf>
    <xf numFmtId="2" fontId="15" fillId="0" borderId="0" applyFill="0" applyBorder="0" applyAlignment="0" applyProtection="0"/>
    <xf numFmtId="0" fontId="87" fillId="6" borderId="0" applyNumberFormat="0" applyBorder="0" applyAlignment="0" applyProtection="0"/>
    <xf numFmtId="38" fontId="53" fillId="27" borderId="0" applyNumberFormat="0" applyBorder="0" applyAlignment="0" applyProtection="0"/>
    <xf numFmtId="0" fontId="8" fillId="0" borderId="6" applyNumberFormat="0" applyAlignment="0" applyProtection="0">
      <alignment horizontal="left" vertical="center"/>
    </xf>
    <xf numFmtId="0" fontId="8" fillId="0" borderId="7">
      <alignment horizontal="left" vertical="center"/>
    </xf>
    <xf numFmtId="0" fontId="101" fillId="0" borderId="9" applyNumberFormat="0" applyFill="0" applyAlignment="0" applyProtection="0"/>
    <xf numFmtId="0" fontId="111" fillId="0" borderId="8" applyNumberFormat="0" applyFill="0" applyAlignment="0" applyProtection="0"/>
    <xf numFmtId="0" fontId="102" fillId="0" borderId="10" applyNumberFormat="0" applyFill="0" applyAlignment="0" applyProtection="0"/>
    <xf numFmtId="0" fontId="112" fillId="0" borderId="10" applyNumberFormat="0" applyFill="0" applyAlignment="0" applyProtection="0"/>
    <xf numFmtId="0" fontId="103" fillId="0" borderId="12" applyNumberFormat="0" applyFill="0" applyAlignment="0" applyProtection="0"/>
    <xf numFmtId="0" fontId="113" fillId="0" borderId="11" applyNumberFormat="0" applyFill="0" applyAlignment="0" applyProtection="0"/>
    <xf numFmtId="0" fontId="108" fillId="0" borderId="0" applyNumberFormat="0" applyFill="0" applyBorder="0" applyAlignment="0" applyProtection="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0" fontId="53" fillId="28" borderId="13" applyNumberFormat="0" applyBorder="0" applyAlignment="0" applyProtection="0"/>
    <xf numFmtId="0" fontId="109" fillId="12" borderId="3" applyNumberFormat="0" applyAlignment="0" applyProtection="0"/>
    <xf numFmtId="3" fontId="106" fillId="27" borderId="0">
      <protection locked="0"/>
    </xf>
    <xf numFmtId="4" fontId="106" fillId="27" borderId="0">
      <protection locked="0"/>
    </xf>
    <xf numFmtId="0" fontId="91" fillId="0" borderId="14" applyNumberFormat="0" applyFill="0" applyAlignment="0" applyProtection="0"/>
    <xf numFmtId="41" fontId="66" fillId="29" borderId="0" applyFill="0" applyBorder="0" applyAlignment="0" applyProtection="0"/>
    <xf numFmtId="0" fontId="89" fillId="12" borderId="0" applyNumberFormat="0" applyBorder="0" applyAlignment="0" applyProtection="0"/>
    <xf numFmtId="43"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7" fontId="9" fillId="0" borderId="0"/>
    <xf numFmtId="0" fontId="118" fillId="0" borderId="0"/>
    <xf numFmtId="0" fontId="118" fillId="0" borderId="0"/>
    <xf numFmtId="0" fontId="51" fillId="0" borderId="0"/>
    <xf numFmtId="0" fontId="15" fillId="0" borderId="0"/>
    <xf numFmtId="0" fontId="15" fillId="0" borderId="0"/>
    <xf numFmtId="0" fontId="15" fillId="0" borderId="0"/>
    <xf numFmtId="37" fontId="9" fillId="0" borderId="0"/>
    <xf numFmtId="37" fontId="9" fillId="0" borderId="0"/>
    <xf numFmtId="0" fontId="118" fillId="0" borderId="0"/>
    <xf numFmtId="0" fontId="51" fillId="0" borderId="0"/>
    <xf numFmtId="37" fontId="9" fillId="0" borderId="0"/>
    <xf numFmtId="0" fontId="51" fillId="0" borderId="0"/>
    <xf numFmtId="37" fontId="9" fillId="0" borderId="0"/>
    <xf numFmtId="0" fontId="51" fillId="0" borderId="0"/>
    <xf numFmtId="37" fontId="9" fillId="0" borderId="0"/>
    <xf numFmtId="0" fontId="51" fillId="0" borderId="0"/>
    <xf numFmtId="0" fontId="118" fillId="0" borderId="0"/>
    <xf numFmtId="0" fontId="51" fillId="0" borderId="0"/>
    <xf numFmtId="0" fontId="51" fillId="0" borderId="0"/>
    <xf numFmtId="0" fontId="51" fillId="0" borderId="0"/>
    <xf numFmtId="0" fontId="51" fillId="0" borderId="0"/>
    <xf numFmtId="0" fontId="117" fillId="0" borderId="0"/>
    <xf numFmtId="169" fontId="17"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18" fillId="0" borderId="0"/>
    <xf numFmtId="0" fontId="15" fillId="0" borderId="0"/>
    <xf numFmtId="0" fontId="15"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18" fillId="0" borderId="0"/>
    <xf numFmtId="0" fontId="7"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8"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9" fillId="0" borderId="0"/>
    <xf numFmtId="0" fontId="1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51" fillId="0" borderId="0"/>
    <xf numFmtId="0" fontId="7" fillId="0" borderId="0">
      <alignment vertical="top"/>
    </xf>
    <xf numFmtId="0" fontId="7" fillId="0" borderId="0">
      <alignment vertical="top"/>
    </xf>
    <xf numFmtId="0" fontId="7" fillId="0" borderId="0">
      <alignment vertical="top"/>
    </xf>
    <xf numFmtId="0" fontId="51" fillId="0" borderId="0"/>
    <xf numFmtId="0" fontId="118" fillId="0" borderId="0"/>
    <xf numFmtId="0" fontId="118" fillId="0" borderId="0"/>
    <xf numFmtId="37" fontId="31" fillId="0" borderId="0"/>
    <xf numFmtId="37" fontId="9" fillId="0" borderId="0"/>
    <xf numFmtId="0" fontId="15" fillId="0" borderId="0"/>
    <xf numFmtId="0" fontId="13" fillId="0" borderId="0"/>
    <xf numFmtId="0" fontId="51" fillId="7" borderId="15" applyNumberFormat="0" applyFont="0" applyAlignment="0" applyProtection="0"/>
    <xf numFmtId="0" fontId="53" fillId="7" borderId="15" applyNumberFormat="0" applyFont="0" applyAlignment="0" applyProtection="0"/>
    <xf numFmtId="170" fontId="107" fillId="0" borderId="0" applyNumberFormat="0"/>
    <xf numFmtId="0" fontId="103" fillId="22" borderId="16" applyNumberFormat="0" applyAlignment="0" applyProtection="0"/>
    <xf numFmtId="9" fontId="12" fillId="0" borderId="0" applyFont="0" applyFill="0" applyBorder="0" applyAlignment="0" applyProtection="0"/>
    <xf numFmtId="10" fontId="15" fillId="0" borderId="0" applyFont="0" applyFill="0" applyBorder="0" applyAlignment="0" applyProtection="0"/>
    <xf numFmtId="9" fontId="51" fillId="0" borderId="0" applyFont="0" applyFill="0" applyBorder="0" applyAlignment="0" applyProtection="0"/>
    <xf numFmtId="9" fontId="118" fillId="0" borderId="0" applyFont="0" applyFill="0" applyBorder="0" applyAlignment="0" applyProtection="0"/>
    <xf numFmtId="9" fontId="11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74" fillId="0" borderId="0" applyFont="0" applyFill="0" applyBorder="0" applyAlignment="0" applyProtection="0"/>
    <xf numFmtId="9" fontId="51" fillId="0" borderId="0" applyFont="0" applyFill="0" applyBorder="0" applyAlignment="0" applyProtection="0"/>
    <xf numFmtId="170" fontId="15" fillId="0" borderId="0" applyFont="0" applyFill="0" applyBorder="0" applyAlignment="0" applyProtection="0"/>
    <xf numFmtId="10" fontId="15" fillId="0" borderId="0" applyFont="0" applyFill="0" applyBorder="0" applyAlignment="0" applyProtection="0"/>
    <xf numFmtId="0" fontId="15" fillId="0" borderId="0"/>
    <xf numFmtId="0" fontId="15" fillId="0" borderId="0"/>
    <xf numFmtId="0" fontId="15" fillId="0" borderId="0"/>
    <xf numFmtId="0" fontId="15" fillId="0" borderId="0"/>
    <xf numFmtId="38" fontId="67" fillId="0" borderId="0" applyNumberFormat="0" applyFont="0" applyFill="0" applyBorder="0">
      <alignment horizontal="left" indent="4"/>
      <protection locked="0"/>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17">
      <alignment horizontal="center"/>
    </xf>
    <xf numFmtId="0" fontId="69" fillId="0" borderId="17">
      <alignment horizontal="center"/>
    </xf>
    <xf numFmtId="3" fontId="68" fillId="0" borderId="0" applyFont="0" applyFill="0" applyBorder="0" applyAlignment="0" applyProtection="0"/>
    <xf numFmtId="0" fontId="68" fillId="30" borderId="0" applyNumberFormat="0" applyFont="0" applyBorder="0" applyAlignment="0" applyProtection="0"/>
    <xf numFmtId="175" fontId="32" fillId="31" borderId="18" applyNumberFormat="0" applyFill="0"/>
    <xf numFmtId="0" fontId="70" fillId="31" borderId="0" applyNumberFormat="0" applyFill="0" applyBorder="0" applyAlignment="0" applyProtection="0">
      <alignment horizontal="left" indent="7"/>
    </xf>
    <xf numFmtId="0" fontId="15" fillId="32" borderId="18" applyNumberFormat="0" applyFill="0">
      <alignment horizontal="left" indent="6"/>
    </xf>
    <xf numFmtId="175" fontId="56" fillId="0" borderId="19" applyNumberFormat="0" applyFill="0"/>
    <xf numFmtId="0" fontId="42" fillId="33" borderId="13" applyNumberFormat="0" applyFill="0" applyBorder="0" applyAlignment="0">
      <alignment horizontal="right"/>
    </xf>
    <xf numFmtId="0" fontId="50" fillId="34" borderId="18" applyNumberFormat="0" applyFill="0" applyBorder="0" applyAlignment="0"/>
    <xf numFmtId="0" fontId="56" fillId="0" borderId="18" applyNumberFormat="0" applyFill="0"/>
    <xf numFmtId="175" fontId="56" fillId="0" borderId="18" applyNumberFormat="0" applyFill="0"/>
    <xf numFmtId="0" fontId="15" fillId="35" borderId="0" applyNumberFormat="0" applyFill="0" applyBorder="0" applyAlignment="0"/>
    <xf numFmtId="0" fontId="71" fillId="36" borderId="18" applyNumberFormat="0" applyFill="0" applyBorder="0">
      <alignment horizontal="left" indent="1"/>
    </xf>
    <xf numFmtId="0" fontId="42" fillId="0" borderId="18" applyNumberFormat="0" applyFill="0">
      <alignment horizontal="left" indent="1"/>
    </xf>
    <xf numFmtId="175" fontId="56" fillId="0" borderId="18" applyNumberFormat="0" applyFill="0"/>
    <xf numFmtId="0" fontId="15" fillId="24" borderId="0" applyNumberFormat="0" applyFill="0" applyBorder="0" applyAlignment="0"/>
    <xf numFmtId="0" fontId="50" fillId="24" borderId="18" applyNumberFormat="0" applyFill="0" applyBorder="0">
      <alignment horizontal="left" indent="2"/>
    </xf>
    <xf numFmtId="0" fontId="42" fillId="24" borderId="18" applyNumberFormat="0" applyFill="0">
      <alignment horizontal="left" indent="2"/>
    </xf>
    <xf numFmtId="175" fontId="32" fillId="0" borderId="18" applyNumberFormat="0" applyFill="0"/>
    <xf numFmtId="0" fontId="15" fillId="0" borderId="0" applyNumberFormat="0" applyFill="0" applyBorder="0" applyAlignment="0"/>
    <xf numFmtId="0" fontId="71" fillId="0" borderId="18" applyNumberFormat="0" applyFill="0" applyBorder="0">
      <alignment horizontal="left" indent="3"/>
    </xf>
    <xf numFmtId="0" fontId="15" fillId="0" borderId="18" applyNumberFormat="0" applyFill="0" applyProtection="0">
      <alignment horizontal="left" indent="3"/>
    </xf>
    <xf numFmtId="175" fontId="32" fillId="0" borderId="18" applyNumberFormat="0" applyFill="0"/>
    <xf numFmtId="0" fontId="15" fillId="0" borderId="0" applyNumberFormat="0" applyFill="0" applyBorder="0" applyAlignment="0"/>
    <xf numFmtId="0" fontId="49" fillId="0" borderId="18" applyNumberFormat="0" applyFill="0" applyBorder="0">
      <alignment horizontal="left" indent="4"/>
    </xf>
    <xf numFmtId="176" fontId="15" fillId="0" borderId="18" applyNumberFormat="0" applyFill="0">
      <alignment horizontal="left" indent="4"/>
    </xf>
    <xf numFmtId="175" fontId="32" fillId="0" borderId="18" applyNumberFormat="0" applyFill="0"/>
    <xf numFmtId="0" fontId="15" fillId="0" borderId="0" applyNumberFormat="0" applyBorder="0" applyAlignment="0"/>
    <xf numFmtId="0" fontId="49" fillId="0" borderId="18" applyNumberFormat="0" applyFill="0" applyBorder="0">
      <alignment horizontal="left" indent="5"/>
    </xf>
    <xf numFmtId="0" fontId="15" fillId="0" borderId="18" applyNumberFormat="0" applyFill="0">
      <alignment horizontal="left" indent="5"/>
    </xf>
    <xf numFmtId="175" fontId="32" fillId="0" borderId="18" applyNumberFormat="0" applyFill="0"/>
    <xf numFmtId="0" fontId="15" fillId="0" borderId="0" applyNumberFormat="0" applyFill="0" applyBorder="0" applyAlignment="0"/>
    <xf numFmtId="0" fontId="72" fillId="0" borderId="18" applyNumberFormat="0" applyFill="0" applyBorder="0">
      <alignment horizontal="left" indent="6"/>
    </xf>
    <xf numFmtId="0" fontId="60" fillId="0" borderId="18" applyNumberFormat="0" applyFill="0">
      <alignment horizontal="left" indent="6"/>
    </xf>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7" fillId="0" borderId="0">
      <alignment vertical="top"/>
    </xf>
    <xf numFmtId="0" fontId="7" fillId="0" borderId="0">
      <alignment vertical="top"/>
    </xf>
    <xf numFmtId="0" fontId="7" fillId="0" borderId="0" applyNumberFormat="0" applyBorder="0" applyAlignment="0"/>
    <xf numFmtId="0" fontId="7" fillId="0" borderId="0" applyNumberFormat="0" applyBorder="0" applyAlignment="0"/>
    <xf numFmtId="37" fontId="115" fillId="0" borderId="0"/>
    <xf numFmtId="175" fontId="73" fillId="31" borderId="18" applyNumberFormat="0" applyProtection="0">
      <alignment horizontal="right"/>
    </xf>
    <xf numFmtId="0" fontId="110" fillId="0" borderId="0" applyNumberFormat="0" applyFill="0" applyBorder="0" applyAlignment="0" applyProtection="0"/>
    <xf numFmtId="0" fontId="95" fillId="0" borderId="21" applyNumberFormat="0" applyFill="0" applyAlignment="0" applyProtection="0"/>
    <xf numFmtId="0" fontId="95" fillId="0" borderId="20" applyNumberFormat="0" applyFill="0" applyAlignment="0" applyProtection="0"/>
    <xf numFmtId="0" fontId="93" fillId="0" borderId="0" applyNumberFormat="0" applyFill="0" applyBorder="0" applyAlignment="0" applyProtection="0"/>
    <xf numFmtId="171" fontId="9" fillId="31" borderId="0" applyFont="0" applyFill="0" applyBorder="0" applyAlignment="0" applyProtection="0">
      <alignment wrapText="1"/>
    </xf>
    <xf numFmtId="0" fontId="9" fillId="31" borderId="22" applyNumberFormat="0" applyFill="0" applyBorder="0" applyProtection="0">
      <alignment horizontal="right"/>
    </xf>
    <xf numFmtId="0" fontId="30" fillId="22" borderId="0"/>
    <xf numFmtId="41" fontId="16" fillId="32" borderId="0">
      <alignment horizontal="left"/>
    </xf>
    <xf numFmtId="10" fontId="16" fillId="32" borderId="0"/>
    <xf numFmtId="41" fontId="16" fillId="32" borderId="0">
      <alignment horizontal="left"/>
    </xf>
    <xf numFmtId="0" fontId="143" fillId="37"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175" fillId="0" borderId="0" applyFont="0" applyFill="0" applyBorder="0" applyAlignment="0" applyProtection="0"/>
    <xf numFmtId="0" fontId="5" fillId="0" borderId="0"/>
    <xf numFmtId="0" fontId="194" fillId="4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983">
    <xf numFmtId="37" fontId="0" fillId="0" borderId="0" xfId="0"/>
    <xf numFmtId="37" fontId="10" fillId="0" borderId="0" xfId="0" applyFont="1"/>
    <xf numFmtId="37" fontId="10" fillId="0" borderId="0" xfId="0" applyFont="1" applyAlignment="1">
      <alignment horizontal="center"/>
    </xf>
    <xf numFmtId="37" fontId="11" fillId="0" borderId="0" xfId="0" applyFont="1"/>
    <xf numFmtId="37" fontId="11" fillId="0" borderId="0" xfId="0" applyFont="1" applyAlignment="1">
      <alignment horizontal="center"/>
    </xf>
    <xf numFmtId="41" fontId="19" fillId="0" borderId="0" xfId="0" applyNumberFormat="1" applyFont="1"/>
    <xf numFmtId="37" fontId="24" fillId="0" borderId="0" xfId="0" applyFont="1"/>
    <xf numFmtId="37" fontId="23" fillId="0" borderId="0" xfId="0" applyFont="1" applyAlignment="1">
      <alignment horizontal="center"/>
    </xf>
    <xf numFmtId="37" fontId="20" fillId="0" borderId="0" xfId="0" applyFont="1"/>
    <xf numFmtId="37" fontId="20" fillId="0" borderId="0" xfId="0" applyFont="1" applyAlignment="1">
      <alignment horizontal="left" indent="1"/>
    </xf>
    <xf numFmtId="41" fontId="20" fillId="0" borderId="0" xfId="0" applyNumberFormat="1" applyFont="1"/>
    <xf numFmtId="37" fontId="26" fillId="0" borderId="0" xfId="0" applyFont="1"/>
    <xf numFmtId="37" fontId="23" fillId="0" borderId="0" xfId="0" applyFont="1"/>
    <xf numFmtId="165" fontId="19" fillId="0" borderId="0" xfId="0" applyNumberFormat="1" applyFont="1"/>
    <xf numFmtId="37" fontId="10" fillId="0" borderId="0" xfId="0" applyFont="1" applyAlignment="1">
      <alignment wrapText="1"/>
    </xf>
    <xf numFmtId="37" fontId="10" fillId="0" borderId="0" xfId="0" quotePrefix="1" applyFont="1" applyAlignment="1">
      <alignment wrapText="1"/>
    </xf>
    <xf numFmtId="164" fontId="10" fillId="0" borderId="0" xfId="0" applyNumberFormat="1" applyFont="1"/>
    <xf numFmtId="37" fontId="8" fillId="0" borderId="0" xfId="0" applyFont="1" applyAlignment="1">
      <alignment horizontal="center"/>
    </xf>
    <xf numFmtId="37" fontId="38" fillId="0" borderId="0" xfId="0" applyFont="1"/>
    <xf numFmtId="171" fontId="0" fillId="0" borderId="0" xfId="78" applyNumberFormat="1" applyFont="1"/>
    <xf numFmtId="37" fontId="26" fillId="0" borderId="0" xfId="0" applyFont="1" applyAlignment="1">
      <alignment horizontal="right" indent="1"/>
    </xf>
    <xf numFmtId="171" fontId="8" fillId="0" borderId="7" xfId="78" applyNumberFormat="1" applyFont="1" applyBorder="1"/>
    <xf numFmtId="9" fontId="0" fillId="0" borderId="0" xfId="323" applyFont="1"/>
    <xf numFmtId="37" fontId="39" fillId="0" borderId="0" xfId="0" applyFont="1"/>
    <xf numFmtId="37" fontId="40" fillId="0" borderId="0" xfId="0" applyFont="1" applyAlignment="1">
      <alignment horizontal="center"/>
    </xf>
    <xf numFmtId="37" fontId="38" fillId="0" borderId="5" xfId="0" applyFont="1" applyBorder="1" applyAlignment="1">
      <alignment horizontal="center"/>
    </xf>
    <xf numFmtId="171" fontId="38" fillId="0" borderId="0" xfId="78" applyNumberFormat="1" applyFont="1"/>
    <xf numFmtId="37" fontId="44" fillId="0" borderId="0" xfId="0" applyFont="1"/>
    <xf numFmtId="171" fontId="38" fillId="0" borderId="0" xfId="78" applyNumberFormat="1" applyFont="1" applyFill="1"/>
    <xf numFmtId="171" fontId="0" fillId="0" borderId="0" xfId="78" applyNumberFormat="1" applyFont="1" applyFill="1"/>
    <xf numFmtId="171" fontId="8" fillId="0" borderId="7" xfId="78" applyNumberFormat="1" applyFont="1" applyFill="1" applyBorder="1"/>
    <xf numFmtId="37" fontId="38" fillId="0" borderId="0" xfId="0" applyFont="1" applyAlignment="1">
      <alignment horizontal="center"/>
    </xf>
    <xf numFmtId="171" fontId="116" fillId="0" borderId="0" xfId="78" applyNumberFormat="1" applyFont="1" applyFill="1"/>
    <xf numFmtId="9" fontId="116" fillId="0" borderId="0" xfId="323" applyFont="1" applyFill="1"/>
    <xf numFmtId="171" fontId="41" fillId="0" borderId="7" xfId="78" applyNumberFormat="1" applyFont="1" applyFill="1" applyBorder="1"/>
    <xf numFmtId="9" fontId="38" fillId="0" borderId="0" xfId="323" applyFont="1" applyFill="1"/>
    <xf numFmtId="171" fontId="48" fillId="0" borderId="0" xfId="78" applyNumberFormat="1" applyFont="1" applyFill="1"/>
    <xf numFmtId="171" fontId="46" fillId="0" borderId="0" xfId="78" applyNumberFormat="1" applyFont="1" applyFill="1"/>
    <xf numFmtId="171" fontId="45" fillId="0" borderId="0" xfId="78" applyNumberFormat="1" applyFont="1" applyFill="1"/>
    <xf numFmtId="37" fontId="135" fillId="0" borderId="0" xfId="0" applyFont="1" applyAlignment="1">
      <alignment horizontal="center"/>
    </xf>
    <xf numFmtId="41" fontId="26" fillId="0" borderId="0" xfId="0" applyNumberFormat="1" applyFont="1"/>
    <xf numFmtId="37" fontId="20" fillId="0" borderId="0" xfId="0" applyFont="1" applyAlignment="1">
      <alignment horizontal="center"/>
    </xf>
    <xf numFmtId="41" fontId="26" fillId="0" borderId="0" xfId="0" applyNumberFormat="1" applyFont="1" applyAlignment="1">
      <alignment horizontal="center"/>
    </xf>
    <xf numFmtId="41" fontId="27" fillId="0" borderId="0" xfId="0" applyNumberFormat="1" applyFont="1" applyAlignment="1">
      <alignment horizontal="center"/>
    </xf>
    <xf numFmtId="42" fontId="20" fillId="0" borderId="0" xfId="0" applyNumberFormat="1" applyFont="1"/>
    <xf numFmtId="41" fontId="20" fillId="0" borderId="23" xfId="0" applyNumberFormat="1" applyFont="1" applyBorder="1"/>
    <xf numFmtId="41" fontId="20" fillId="0" borderId="0" xfId="0" applyNumberFormat="1" applyFont="1" applyAlignment="1">
      <alignment horizontal="center"/>
    </xf>
    <xf numFmtId="42" fontId="20" fillId="0" borderId="24" xfId="0" applyNumberFormat="1" applyFont="1" applyBorder="1"/>
    <xf numFmtId="41" fontId="137" fillId="0" borderId="0" xfId="0" applyNumberFormat="1" applyFont="1"/>
    <xf numFmtId="41" fontId="20" fillId="0" borderId="5" xfId="0" applyNumberFormat="1" applyFont="1" applyBorder="1"/>
    <xf numFmtId="171" fontId="129" fillId="0" borderId="0" xfId="78" applyNumberFormat="1" applyFont="1" applyFill="1"/>
    <xf numFmtId="171" fontId="0" fillId="0" borderId="5" xfId="78" applyNumberFormat="1" applyFont="1" applyBorder="1"/>
    <xf numFmtId="0" fontId="30" fillId="38" borderId="0" xfId="422" applyFill="1"/>
    <xf numFmtId="0" fontId="144" fillId="38" borderId="0" xfId="422" applyFont="1" applyFill="1"/>
    <xf numFmtId="0" fontId="144" fillId="38" borderId="17" xfId="422" applyFont="1" applyFill="1" applyBorder="1"/>
    <xf numFmtId="0" fontId="144" fillId="0" borderId="30" xfId="422" applyFont="1" applyFill="1" applyBorder="1"/>
    <xf numFmtId="0" fontId="144" fillId="0" borderId="0" xfId="422" applyFont="1" applyFill="1" applyAlignment="1">
      <alignment horizontal="center"/>
    </xf>
    <xf numFmtId="0" fontId="144" fillId="0" borderId="0" xfId="422" applyFont="1" applyFill="1"/>
    <xf numFmtId="0" fontId="146" fillId="37" borderId="40" xfId="426" applyNumberFormat="1" applyFont="1" applyBorder="1" applyAlignment="1">
      <alignment horizontal="centerContinuous"/>
    </xf>
    <xf numFmtId="0" fontId="147" fillId="37" borderId="6" xfId="426" applyNumberFormat="1" applyFont="1" applyBorder="1" applyAlignment="1">
      <alignment horizontal="centerContinuous"/>
    </xf>
    <xf numFmtId="0" fontId="147" fillId="37" borderId="6" xfId="426" applyNumberFormat="1" applyFont="1" applyBorder="1" applyAlignment="1">
      <alignment horizontal="left"/>
    </xf>
    <xf numFmtId="0" fontId="30" fillId="22" borderId="0" xfId="422"/>
    <xf numFmtId="0" fontId="30" fillId="22" borderId="30" xfId="422" applyBorder="1"/>
    <xf numFmtId="0" fontId="10" fillId="22" borderId="46" xfId="422" applyFont="1" applyBorder="1"/>
    <xf numFmtId="0" fontId="10" fillId="22" borderId="0" xfId="422" applyFont="1"/>
    <xf numFmtId="0" fontId="149" fillId="22" borderId="0" xfId="422" applyFont="1" applyAlignment="1">
      <alignment horizontal="center"/>
    </xf>
    <xf numFmtId="0" fontId="30" fillId="22" borderId="0" xfId="422" applyAlignment="1">
      <alignment horizontal="center"/>
    </xf>
    <xf numFmtId="0" fontId="147" fillId="37" borderId="47" xfId="426" applyNumberFormat="1" applyFont="1" applyBorder="1" applyAlignment="1">
      <alignment horizontal="left"/>
    </xf>
    <xf numFmtId="0" fontId="30" fillId="39" borderId="0" xfId="422" applyFill="1"/>
    <xf numFmtId="0" fontId="10" fillId="22" borderId="30" xfId="422" applyFont="1" applyBorder="1"/>
    <xf numFmtId="0" fontId="150" fillId="40" borderId="0" xfId="422" applyFont="1" applyFill="1" applyAlignment="1">
      <alignment horizontal="center"/>
    </xf>
    <xf numFmtId="0" fontId="151" fillId="38" borderId="0" xfId="422" applyFont="1" applyFill="1"/>
    <xf numFmtId="0" fontId="152" fillId="22" borderId="34" xfId="422" applyFont="1" applyBorder="1" applyAlignment="1">
      <alignment horizontal="right"/>
    </xf>
    <xf numFmtId="41" fontId="10" fillId="0" borderId="27" xfId="425" applyFont="1" applyFill="1" applyBorder="1">
      <alignment horizontal="left"/>
    </xf>
    <xf numFmtId="0" fontId="152" fillId="22" borderId="30" xfId="422" applyFont="1" applyBorder="1"/>
    <xf numFmtId="0" fontId="152" fillId="22" borderId="0" xfId="422" applyFont="1"/>
    <xf numFmtId="0" fontId="153" fillId="40" borderId="0" xfId="422" applyFont="1" applyFill="1" applyAlignment="1">
      <alignment horizontal="center"/>
    </xf>
    <xf numFmtId="41" fontId="30" fillId="38" borderId="0" xfId="422" applyNumberFormat="1" applyFill="1"/>
    <xf numFmtId="0" fontId="16" fillId="22" borderId="0" xfId="422" applyFont="1"/>
    <xf numFmtId="0" fontId="152" fillId="22" borderId="28" xfId="422" applyFont="1" applyBorder="1"/>
    <xf numFmtId="0" fontId="150" fillId="40" borderId="5" xfId="422" applyFont="1" applyFill="1" applyBorder="1"/>
    <xf numFmtId="0" fontId="153" fillId="40" borderId="5" xfId="422" applyFont="1" applyFill="1" applyBorder="1" applyAlignment="1">
      <alignment horizontal="center"/>
    </xf>
    <xf numFmtId="0" fontId="153" fillId="40" borderId="5" xfId="422" applyFont="1" applyFill="1" applyBorder="1"/>
    <xf numFmtId="0" fontId="152" fillId="22" borderId="0" xfId="422" applyFont="1" applyAlignment="1">
      <alignment horizontal="right"/>
    </xf>
    <xf numFmtId="41" fontId="152" fillId="22" borderId="0" xfId="422" applyNumberFormat="1" applyFont="1"/>
    <xf numFmtId="0" fontId="155" fillId="22" borderId="30" xfId="422" applyFont="1" applyBorder="1" applyAlignment="1">
      <alignment horizontal="center"/>
    </xf>
    <xf numFmtId="2" fontId="30" fillId="22" borderId="30" xfId="422" applyNumberFormat="1" applyBorder="1" applyAlignment="1">
      <alignment horizontal="center"/>
    </xf>
    <xf numFmtId="178" fontId="30" fillId="22" borderId="0" xfId="422" applyNumberFormat="1"/>
    <xf numFmtId="10" fontId="154" fillId="22" borderId="0" xfId="422" applyNumberFormat="1" applyFont="1"/>
    <xf numFmtId="41" fontId="30" fillId="22" borderId="29" xfId="422" applyNumberFormat="1" applyBorder="1"/>
    <xf numFmtId="41" fontId="30" fillId="22" borderId="30" xfId="422" applyNumberFormat="1" applyBorder="1"/>
    <xf numFmtId="41" fontId="30" fillId="22" borderId="0" xfId="422" applyNumberFormat="1"/>
    <xf numFmtId="0" fontId="152" fillId="22" borderId="34" xfId="422" applyFont="1" applyBorder="1" applyAlignment="1">
      <alignment horizontal="center"/>
    </xf>
    <xf numFmtId="0" fontId="30" fillId="22" borderId="30" xfId="422" applyBorder="1" applyAlignment="1">
      <alignment horizontal="center"/>
    </xf>
    <xf numFmtId="0" fontId="30" fillId="22" borderId="28" xfId="422" applyBorder="1" applyAlignment="1">
      <alignment horizontal="center"/>
    </xf>
    <xf numFmtId="0" fontId="153" fillId="22" borderId="34" xfId="422" applyFont="1" applyBorder="1" applyAlignment="1">
      <alignment horizontal="right"/>
    </xf>
    <xf numFmtId="178" fontId="155" fillId="22" borderId="0" xfId="422" applyNumberFormat="1" applyFont="1"/>
    <xf numFmtId="0" fontId="152" fillId="22" borderId="35" xfId="422" applyFont="1" applyBorder="1" applyAlignment="1">
      <alignment horizontal="right"/>
    </xf>
    <xf numFmtId="178" fontId="30" fillId="22" borderId="5" xfId="422" applyNumberFormat="1" applyBorder="1"/>
    <xf numFmtId="41" fontId="10" fillId="22" borderId="0" xfId="422" applyNumberFormat="1" applyFont="1"/>
    <xf numFmtId="0" fontId="152" fillId="22" borderId="48" xfId="422" applyFont="1" applyBorder="1" applyAlignment="1">
      <alignment horizontal="right"/>
    </xf>
    <xf numFmtId="10" fontId="152" fillId="22" borderId="0" xfId="422" applyNumberFormat="1" applyFont="1" applyAlignment="1">
      <alignment horizontal="right"/>
    </xf>
    <xf numFmtId="41" fontId="10" fillId="32" borderId="0" xfId="425" applyFont="1" applyAlignment="1">
      <alignment horizontal="right"/>
    </xf>
    <xf numFmtId="0" fontId="30" fillId="22" borderId="0" xfId="422" applyAlignment="1">
      <alignment horizontal="right"/>
    </xf>
    <xf numFmtId="0" fontId="30" fillId="22" borderId="49" xfId="422" applyBorder="1" applyAlignment="1">
      <alignment horizontal="center"/>
    </xf>
    <xf numFmtId="2" fontId="30" fillId="22" borderId="49" xfId="422" applyNumberFormat="1" applyBorder="1" applyAlignment="1">
      <alignment horizontal="center"/>
    </xf>
    <xf numFmtId="178" fontId="30" fillId="22" borderId="50" xfId="422" applyNumberFormat="1" applyBorder="1"/>
    <xf numFmtId="10" fontId="154" fillId="22" borderId="50" xfId="422" applyNumberFormat="1" applyFont="1" applyBorder="1"/>
    <xf numFmtId="41" fontId="30" fillId="22" borderId="51" xfId="422" applyNumberFormat="1" applyBorder="1"/>
    <xf numFmtId="41" fontId="30" fillId="22" borderId="49" xfId="422" applyNumberFormat="1" applyBorder="1"/>
    <xf numFmtId="41" fontId="30" fillId="22" borderId="50" xfId="422" applyNumberFormat="1" applyBorder="1"/>
    <xf numFmtId="0" fontId="150" fillId="40" borderId="49" xfId="422" applyFont="1" applyFill="1" applyBorder="1" applyAlignment="1">
      <alignment horizontal="left"/>
    </xf>
    <xf numFmtId="0" fontId="30" fillId="22" borderId="50" xfId="422" applyBorder="1"/>
    <xf numFmtId="0" fontId="30" fillId="22" borderId="51" xfId="422" applyBorder="1"/>
    <xf numFmtId="0" fontId="156" fillId="22" borderId="0" xfId="422" applyFont="1" applyAlignment="1">
      <alignment horizontal="left"/>
    </xf>
    <xf numFmtId="41" fontId="152" fillId="22" borderId="29" xfId="422" applyNumberFormat="1" applyFont="1" applyBorder="1"/>
    <xf numFmtId="0" fontId="145" fillId="38" borderId="0" xfId="422" applyFont="1" applyFill="1"/>
    <xf numFmtId="0" fontId="153" fillId="22" borderId="0" xfId="422" applyFont="1" applyAlignment="1">
      <alignment horizontal="right"/>
    </xf>
    <xf numFmtId="41" fontId="153" fillId="22" borderId="39" xfId="422" applyNumberFormat="1" applyFont="1" applyBorder="1"/>
    <xf numFmtId="41" fontId="153" fillId="22" borderId="53" xfId="422" applyNumberFormat="1" applyFont="1" applyBorder="1"/>
    <xf numFmtId="0" fontId="30" fillId="22" borderId="28" xfId="422" applyBorder="1"/>
    <xf numFmtId="0" fontId="30" fillId="22" borderId="5" xfId="422" applyBorder="1"/>
    <xf numFmtId="0" fontId="30" fillId="22" borderId="27" xfId="422" applyBorder="1"/>
    <xf numFmtId="0" fontId="150" fillId="40" borderId="0" xfId="422" applyFont="1" applyFill="1" applyAlignment="1">
      <alignment horizontal="right"/>
    </xf>
    <xf numFmtId="0" fontId="150" fillId="32" borderId="0" xfId="422" applyFont="1" applyFill="1" applyAlignment="1">
      <alignment horizontal="centerContinuous"/>
    </xf>
    <xf numFmtId="0" fontId="157" fillId="22" borderId="0" xfId="422" applyFont="1" applyAlignment="1">
      <alignment horizontal="right"/>
    </xf>
    <xf numFmtId="41" fontId="157" fillId="22" borderId="0" xfId="422" applyNumberFormat="1" applyFont="1" applyAlignment="1">
      <alignment horizontal="center"/>
    </xf>
    <xf numFmtId="0" fontId="157" fillId="22" borderId="0" xfId="422" applyFont="1" applyAlignment="1">
      <alignment horizontal="center"/>
    </xf>
    <xf numFmtId="37" fontId="30" fillId="22" borderId="0" xfId="422" applyNumberFormat="1"/>
    <xf numFmtId="39" fontId="30" fillId="22" borderId="0" xfId="422" applyNumberFormat="1"/>
    <xf numFmtId="10" fontId="152" fillId="22" borderId="0" xfId="422" applyNumberFormat="1" applyFont="1" applyAlignment="1">
      <alignment horizontal="center"/>
    </xf>
    <xf numFmtId="41" fontId="152" fillId="22" borderId="0" xfId="422" applyNumberFormat="1" applyFont="1" applyProtection="1">
      <protection locked="0"/>
    </xf>
    <xf numFmtId="41" fontId="152" fillId="22" borderId="5" xfId="422" applyNumberFormat="1" applyFont="1" applyBorder="1" applyProtection="1">
      <protection locked="0"/>
    </xf>
    <xf numFmtId="9" fontId="152" fillId="22" borderId="0" xfId="422" applyNumberFormat="1" applyFont="1" applyAlignment="1">
      <alignment horizontal="center"/>
    </xf>
    <xf numFmtId="41" fontId="152" fillId="22" borderId="54" xfId="422" applyNumberFormat="1" applyFont="1" applyBorder="1"/>
    <xf numFmtId="0" fontId="10" fillId="22" borderId="0" xfId="422" applyFont="1" applyAlignment="1">
      <alignment horizontal="right"/>
    </xf>
    <xf numFmtId="10" fontId="152" fillId="22" borderId="54" xfId="422" applyNumberFormat="1" applyFont="1" applyBorder="1" applyAlignment="1">
      <alignment horizontal="center"/>
    </xf>
    <xf numFmtId="0" fontId="153" fillId="22" borderId="0" xfId="422" applyFont="1" applyAlignment="1">
      <alignment horizontal="center"/>
    </xf>
    <xf numFmtId="0" fontId="158" fillId="22" borderId="0" xfId="422" applyFont="1"/>
    <xf numFmtId="0" fontId="153" fillId="22" borderId="0" xfId="422" applyFont="1"/>
    <xf numFmtId="0" fontId="158" fillId="22" borderId="0" xfId="422" applyFont="1" applyAlignment="1">
      <alignment horizontal="right"/>
    </xf>
    <xf numFmtId="10" fontId="152" fillId="22" borderId="0" xfId="422" applyNumberFormat="1" applyFont="1"/>
    <xf numFmtId="10" fontId="30" fillId="38" borderId="0" xfId="422" applyNumberFormat="1" applyFill="1"/>
    <xf numFmtId="0" fontId="152" fillId="22" borderId="0" xfId="422" quotePrefix="1" applyFont="1" applyAlignment="1">
      <alignment horizontal="left"/>
    </xf>
    <xf numFmtId="179" fontId="30" fillId="22" borderId="0" xfId="422" applyNumberFormat="1"/>
    <xf numFmtId="0" fontId="159" fillId="22" borderId="0" xfId="422" applyFont="1"/>
    <xf numFmtId="39" fontId="152" fillId="22" borderId="0" xfId="422" applyNumberFormat="1" applyFont="1"/>
    <xf numFmtId="0" fontId="30" fillId="22" borderId="34" xfId="422" applyBorder="1"/>
    <xf numFmtId="0" fontId="160" fillId="22" borderId="0" xfId="422" applyFont="1"/>
    <xf numFmtId="0" fontId="30" fillId="22" borderId="49" xfId="422" applyBorder="1" applyAlignment="1">
      <alignment horizontal="centerContinuous"/>
    </xf>
    <xf numFmtId="0" fontId="30" fillId="22" borderId="51" xfId="422" applyBorder="1" applyAlignment="1">
      <alignment horizontal="centerContinuous"/>
    </xf>
    <xf numFmtId="10" fontId="16" fillId="32" borderId="0" xfId="424"/>
    <xf numFmtId="0" fontId="153" fillId="22" borderId="5" xfId="422" applyFont="1" applyBorder="1" applyAlignment="1">
      <alignment horizontal="right"/>
    </xf>
    <xf numFmtId="0" fontId="153" fillId="22" borderId="5" xfId="422" applyFont="1" applyBorder="1" applyAlignment="1">
      <alignment horizontal="center"/>
    </xf>
    <xf numFmtId="0" fontId="30" fillId="22" borderId="30" xfId="422" applyBorder="1" applyAlignment="1">
      <alignment horizontal="centerContinuous"/>
    </xf>
    <xf numFmtId="0" fontId="30" fillId="22" borderId="29" xfId="422" applyBorder="1" applyAlignment="1">
      <alignment horizontal="centerContinuous"/>
    </xf>
    <xf numFmtId="0" fontId="30" fillId="22" borderId="29" xfId="422" applyBorder="1"/>
    <xf numFmtId="0" fontId="76" fillId="22" borderId="0" xfId="422" applyFont="1"/>
    <xf numFmtId="164" fontId="152" fillId="22" borderId="0" xfId="422" applyNumberFormat="1" applyFont="1"/>
    <xf numFmtId="171" fontId="152" fillId="22" borderId="0" xfId="422" applyNumberFormat="1" applyFont="1" applyProtection="1">
      <protection locked="0"/>
    </xf>
    <xf numFmtId="0" fontId="30" fillId="22" borderId="29" xfId="422" applyBorder="1" applyAlignment="1">
      <alignment horizontal="center"/>
    </xf>
    <xf numFmtId="0" fontId="30" fillId="22" borderId="0" xfId="422" quotePrefix="1" applyAlignment="1">
      <alignment horizontal="right"/>
    </xf>
    <xf numFmtId="10" fontId="30" fillId="22" borderId="29" xfId="422" applyNumberFormat="1" applyBorder="1"/>
    <xf numFmtId="10" fontId="30" fillId="22" borderId="0" xfId="422" applyNumberFormat="1" applyAlignment="1">
      <alignment horizontal="center"/>
    </xf>
    <xf numFmtId="10" fontId="30" fillId="22" borderId="29" xfId="422" applyNumberFormat="1" applyBorder="1" applyAlignment="1">
      <alignment horizontal="right"/>
    </xf>
    <xf numFmtId="0" fontId="30" fillId="22" borderId="27" xfId="422" applyBorder="1" applyAlignment="1">
      <alignment horizontal="center"/>
    </xf>
    <xf numFmtId="164" fontId="152" fillId="22" borderId="54" xfId="422" applyNumberFormat="1" applyFont="1" applyBorder="1"/>
    <xf numFmtId="39" fontId="30" fillId="22" borderId="49" xfId="422" applyNumberFormat="1" applyBorder="1" applyAlignment="1">
      <alignment horizontal="center"/>
    </xf>
    <xf numFmtId="0" fontId="30" fillId="22" borderId="50" xfId="422" quotePrefix="1" applyBorder="1" applyAlignment="1">
      <alignment horizontal="left"/>
    </xf>
    <xf numFmtId="0" fontId="30" fillId="22" borderId="0" xfId="422" quotePrefix="1" applyAlignment="1">
      <alignment horizontal="left"/>
    </xf>
    <xf numFmtId="0" fontId="161" fillId="38" borderId="0" xfId="422" applyFont="1" applyFill="1"/>
    <xf numFmtId="2" fontId="161" fillId="38" borderId="0" xfId="422" applyNumberFormat="1" applyFont="1" applyFill="1"/>
    <xf numFmtId="10" fontId="30" fillId="22" borderId="28" xfId="422" applyNumberFormat="1" applyBorder="1" applyAlignment="1">
      <alignment horizontal="center"/>
    </xf>
    <xf numFmtId="0" fontId="162" fillId="22" borderId="27" xfId="422" applyFont="1" applyBorder="1"/>
    <xf numFmtId="0" fontId="162" fillId="38" borderId="0" xfId="422" applyFont="1" applyFill="1"/>
    <xf numFmtId="180" fontId="30" fillId="22" borderId="0" xfId="422" applyNumberFormat="1"/>
    <xf numFmtId="0" fontId="145" fillId="22" borderId="0" xfId="422" applyFont="1" applyAlignment="1">
      <alignment horizontal="centerContinuous"/>
    </xf>
    <xf numFmtId="0" fontId="30" fillId="22" borderId="0" xfId="422" applyAlignment="1">
      <alignment horizontal="centerContinuous"/>
    </xf>
    <xf numFmtId="0" fontId="30" fillId="38" borderId="0" xfId="422" applyFill="1" applyAlignment="1">
      <alignment horizontal="right"/>
    </xf>
    <xf numFmtId="0" fontId="30" fillId="22" borderId="49" xfId="422" applyBorder="1"/>
    <xf numFmtId="0" fontId="163" fillId="22" borderId="50" xfId="422" applyFont="1" applyBorder="1" applyAlignment="1">
      <alignment horizontal="center"/>
    </xf>
    <xf numFmtId="0" fontId="163" fillId="22" borderId="51" xfId="422" applyFont="1" applyBorder="1" applyAlignment="1">
      <alignment horizontal="center"/>
    </xf>
    <xf numFmtId="0" fontId="30" fillId="22" borderId="49" xfId="422" applyBorder="1" applyAlignment="1">
      <alignment horizontal="left"/>
    </xf>
    <xf numFmtId="181" fontId="164" fillId="22" borderId="50" xfId="422" applyNumberFormat="1" applyFont="1" applyBorder="1" applyAlignment="1">
      <alignment horizontal="center"/>
    </xf>
    <xf numFmtId="0" fontId="30" fillId="22" borderId="50" xfId="422" applyBorder="1" applyAlignment="1">
      <alignment horizontal="left"/>
    </xf>
    <xf numFmtId="181" fontId="164" fillId="22" borderId="51" xfId="422" applyNumberFormat="1" applyFont="1" applyBorder="1" applyAlignment="1">
      <alignment horizontal="center"/>
    </xf>
    <xf numFmtId="10" fontId="30" fillId="22" borderId="0" xfId="422" applyNumberFormat="1"/>
    <xf numFmtId="0" fontId="30" fillId="22" borderId="30" xfId="422" applyBorder="1" applyAlignment="1">
      <alignment horizontal="left"/>
    </xf>
    <xf numFmtId="181" fontId="164" fillId="22" borderId="0" xfId="422" applyNumberFormat="1" applyFont="1" applyAlignment="1">
      <alignment horizontal="center"/>
    </xf>
    <xf numFmtId="0" fontId="30" fillId="22" borderId="0" xfId="422" applyAlignment="1">
      <alignment horizontal="left"/>
    </xf>
    <xf numFmtId="181" fontId="164" fillId="22" borderId="29" xfId="422" applyNumberFormat="1" applyFont="1" applyBorder="1" applyAlignment="1">
      <alignment horizontal="center"/>
    </xf>
    <xf numFmtId="0" fontId="165" fillId="22" borderId="0" xfId="422" applyFont="1" applyAlignment="1">
      <alignment horizontal="centerContinuous"/>
    </xf>
    <xf numFmtId="181" fontId="30" fillId="22" borderId="29" xfId="422" applyNumberFormat="1" applyBorder="1" applyAlignment="1">
      <alignment horizontal="center"/>
    </xf>
    <xf numFmtId="0" fontId="162" fillId="38" borderId="0" xfId="422" applyFont="1" applyFill="1" applyAlignment="1">
      <alignment horizontal="fill"/>
    </xf>
    <xf numFmtId="10" fontId="30" fillId="22" borderId="5" xfId="422" applyNumberFormat="1" applyBorder="1"/>
    <xf numFmtId="10" fontId="20" fillId="32" borderId="0" xfId="424" applyFont="1"/>
    <xf numFmtId="164" fontId="20" fillId="32" borderId="29" xfId="424" applyNumberFormat="1" applyFont="1" applyBorder="1"/>
    <xf numFmtId="0" fontId="30" fillId="22" borderId="5" xfId="422" applyBorder="1" applyAlignment="1">
      <alignment horizontal="right"/>
    </xf>
    <xf numFmtId="181" fontId="164" fillId="22" borderId="5" xfId="422" applyNumberFormat="1" applyFont="1" applyBorder="1" applyAlignment="1">
      <alignment horizontal="left"/>
    </xf>
    <xf numFmtId="181" fontId="30" fillId="22" borderId="27" xfId="422" applyNumberFormat="1" applyBorder="1" applyAlignment="1">
      <alignment horizontal="center"/>
    </xf>
    <xf numFmtId="10" fontId="20" fillId="32" borderId="5" xfId="424" applyFont="1" applyBorder="1"/>
    <xf numFmtId="10" fontId="20" fillId="32" borderId="27" xfId="424" applyFont="1" applyBorder="1"/>
    <xf numFmtId="181" fontId="30" fillId="22" borderId="0" xfId="422" applyNumberFormat="1"/>
    <xf numFmtId="0" fontId="166" fillId="22" borderId="50" xfId="422" applyFont="1" applyBorder="1"/>
    <xf numFmtId="0" fontId="166" fillId="22" borderId="30" xfId="422" applyFont="1" applyBorder="1"/>
    <xf numFmtId="0" fontId="166" fillId="22" borderId="0" xfId="422" applyFont="1"/>
    <xf numFmtId="0" fontId="166" fillId="22" borderId="29" xfId="422" applyFont="1" applyBorder="1"/>
    <xf numFmtId="0" fontId="30" fillId="32" borderId="0" xfId="422" applyFill="1"/>
    <xf numFmtId="0" fontId="167" fillId="22" borderId="0" xfId="422" applyFont="1"/>
    <xf numFmtId="10" fontId="20" fillId="32" borderId="29" xfId="424" applyFont="1" applyBorder="1"/>
    <xf numFmtId="39" fontId="30" fillId="22" borderId="5" xfId="422" applyNumberFormat="1" applyBorder="1"/>
    <xf numFmtId="179" fontId="30" fillId="22" borderId="5" xfId="422" applyNumberFormat="1" applyBorder="1"/>
    <xf numFmtId="178" fontId="30" fillId="22" borderId="27" xfId="422" applyNumberFormat="1" applyBorder="1"/>
    <xf numFmtId="41" fontId="152" fillId="22" borderId="21" xfId="422" applyNumberFormat="1" applyFont="1" applyBorder="1"/>
    <xf numFmtId="164" fontId="10" fillId="0" borderId="55" xfId="424" applyNumberFormat="1" applyFont="1" applyFill="1" applyBorder="1"/>
    <xf numFmtId="41" fontId="30" fillId="22" borderId="56" xfId="422" applyNumberFormat="1" applyBorder="1"/>
    <xf numFmtId="41" fontId="30" fillId="22" borderId="57" xfId="422" applyNumberFormat="1" applyBorder="1"/>
    <xf numFmtId="41" fontId="30" fillId="22" borderId="58" xfId="422" applyNumberFormat="1" applyBorder="1"/>
    <xf numFmtId="10" fontId="154" fillId="22" borderId="57" xfId="422" applyNumberFormat="1" applyFont="1" applyBorder="1"/>
    <xf numFmtId="178" fontId="30" fillId="22" borderId="57" xfId="422" applyNumberFormat="1" applyBorder="1"/>
    <xf numFmtId="2" fontId="30" fillId="22" borderId="58" xfId="422" applyNumberFormat="1" applyBorder="1" applyAlignment="1">
      <alignment horizontal="center"/>
    </xf>
    <xf numFmtId="0" fontId="30" fillId="22" borderId="58" xfId="422" applyBorder="1" applyAlignment="1">
      <alignment horizontal="center"/>
    </xf>
    <xf numFmtId="5" fontId="152" fillId="22" borderId="59" xfId="422" applyNumberFormat="1" applyFont="1" applyBorder="1"/>
    <xf numFmtId="41" fontId="152" fillId="22" borderId="59" xfId="422" applyNumberFormat="1" applyFont="1" applyBorder="1"/>
    <xf numFmtId="10" fontId="10" fillId="0" borderId="55" xfId="424" applyFont="1" applyFill="1" applyBorder="1"/>
    <xf numFmtId="0" fontId="152" fillId="22" borderId="60" xfId="422" applyFont="1" applyBorder="1" applyAlignment="1">
      <alignment horizontal="center"/>
    </xf>
    <xf numFmtId="41" fontId="10" fillId="0" borderId="55" xfId="425" applyFont="1" applyFill="1" applyBorder="1">
      <alignment horizontal="left"/>
    </xf>
    <xf numFmtId="0" fontId="147" fillId="37" borderId="61" xfId="426" applyNumberFormat="1" applyFont="1" applyBorder="1" applyAlignment="1">
      <alignment horizontal="left"/>
    </xf>
    <xf numFmtId="0" fontId="30" fillId="22" borderId="62" xfId="422" applyBorder="1" applyAlignment="1">
      <alignment horizontal="centerContinuous"/>
    </xf>
    <xf numFmtId="0" fontId="148" fillId="22" borderId="62" xfId="422" applyFont="1" applyBorder="1" applyAlignment="1">
      <alignment horizontal="centerContinuous"/>
    </xf>
    <xf numFmtId="0" fontId="148" fillId="22" borderId="61" xfId="422" applyFont="1" applyBorder="1" applyAlignment="1">
      <alignment horizontal="centerContinuous"/>
    </xf>
    <xf numFmtId="41" fontId="20" fillId="0" borderId="63" xfId="0" applyNumberFormat="1" applyFont="1" applyBorder="1"/>
    <xf numFmtId="171" fontId="116" fillId="0" borderId="5" xfId="78" applyNumberFormat="1" applyFont="1" applyFill="1" applyBorder="1"/>
    <xf numFmtId="37" fontId="11" fillId="0" borderId="0" xfId="0" applyFont="1" applyAlignment="1">
      <alignment horizontal="justify"/>
    </xf>
    <xf numFmtId="171" fontId="47" fillId="0" borderId="0" xfId="78" applyNumberFormat="1" applyFont="1" applyFill="1"/>
    <xf numFmtId="10" fontId="10" fillId="0" borderId="55" xfId="323" applyNumberFormat="1" applyFont="1" applyFill="1" applyBorder="1"/>
    <xf numFmtId="37" fontId="19" fillId="0" borderId="0" xfId="0" applyFont="1"/>
    <xf numFmtId="41" fontId="11" fillId="0" borderId="0" xfId="0" applyNumberFormat="1" applyFont="1"/>
    <xf numFmtId="165" fontId="20" fillId="0" borderId="0" xfId="0" applyNumberFormat="1" applyFont="1"/>
    <xf numFmtId="165" fontId="20" fillId="0" borderId="0" xfId="0" applyNumberFormat="1" applyFont="1" applyAlignment="1">
      <alignment horizontal="center"/>
    </xf>
    <xf numFmtId="14" fontId="20" fillId="0" borderId="0" xfId="0" applyNumberFormat="1" applyFont="1" applyAlignment="1">
      <alignment horizontal="center"/>
    </xf>
    <xf numFmtId="10" fontId="19" fillId="0" borderId="0" xfId="0" applyNumberFormat="1" applyFont="1"/>
    <xf numFmtId="41" fontId="134" fillId="0" borderId="0" xfId="0" applyNumberFormat="1" applyFont="1" applyAlignment="1">
      <alignment horizontal="center"/>
    </xf>
    <xf numFmtId="43" fontId="20" fillId="0" borderId="0" xfId="0" applyNumberFormat="1" applyFont="1"/>
    <xf numFmtId="0" fontId="18" fillId="0" borderId="0" xfId="215" applyFont="1"/>
    <xf numFmtId="43" fontId="16" fillId="0" borderId="0" xfId="215" applyNumberFormat="1" applyFont="1"/>
    <xf numFmtId="0" fontId="16" fillId="0" borderId="0" xfId="215" applyFont="1"/>
    <xf numFmtId="0" fontId="16" fillId="0" borderId="0" xfId="215" quotePrefix="1" applyFont="1" applyAlignment="1">
      <alignment horizontal="center"/>
    </xf>
    <xf numFmtId="49" fontId="16" fillId="0" borderId="0" xfId="215" applyNumberFormat="1" applyFont="1" applyAlignment="1">
      <alignment horizontal="center"/>
    </xf>
    <xf numFmtId="43" fontId="16" fillId="0" borderId="0" xfId="215" applyNumberFormat="1" applyFont="1" applyAlignment="1">
      <alignment horizontal="center"/>
    </xf>
    <xf numFmtId="49" fontId="16" fillId="0" borderId="0" xfId="215" applyNumberFormat="1" applyFont="1" applyAlignment="1">
      <alignment horizontal="left"/>
    </xf>
    <xf numFmtId="49" fontId="171" fillId="0" borderId="0" xfId="0" applyNumberFormat="1" applyFont="1"/>
    <xf numFmtId="182" fontId="168" fillId="0" borderId="0" xfId="0" applyNumberFormat="1" applyFont="1"/>
    <xf numFmtId="182" fontId="16" fillId="0" borderId="0" xfId="215" applyNumberFormat="1" applyFont="1"/>
    <xf numFmtId="182" fontId="168" fillId="0" borderId="57" xfId="0" applyNumberFormat="1" applyFont="1" applyBorder="1"/>
    <xf numFmtId="0" fontId="15" fillId="0" borderId="0" xfId="215" applyFont="1"/>
    <xf numFmtId="49" fontId="15" fillId="0" borderId="0" xfId="215" applyNumberFormat="1" applyFont="1" applyAlignment="1">
      <alignment horizontal="left"/>
    </xf>
    <xf numFmtId="43" fontId="15" fillId="0" borderId="57" xfId="215" applyNumberFormat="1" applyFont="1" applyBorder="1" applyAlignment="1">
      <alignment horizontal="right"/>
    </xf>
    <xf numFmtId="43" fontId="15" fillId="0" borderId="0" xfId="215" applyNumberFormat="1" applyFont="1"/>
    <xf numFmtId="43" fontId="15" fillId="0" borderId="0" xfId="215" applyNumberFormat="1" applyFont="1" applyAlignment="1">
      <alignment horizontal="right"/>
    </xf>
    <xf numFmtId="43" fontId="16" fillId="0" borderId="0" xfId="215" applyNumberFormat="1" applyFont="1" applyAlignment="1">
      <alignment horizontal="right"/>
    </xf>
    <xf numFmtId="43" fontId="16" fillId="0" borderId="26" xfId="215" applyNumberFormat="1" applyFont="1" applyBorder="1" applyAlignment="1">
      <alignment horizontal="right"/>
    </xf>
    <xf numFmtId="43" fontId="140" fillId="0" borderId="0" xfId="215" applyNumberFormat="1" applyFont="1"/>
    <xf numFmtId="0" fontId="133" fillId="0" borderId="0" xfId="215" applyFont="1"/>
    <xf numFmtId="0" fontId="140" fillId="0" borderId="0" xfId="215" applyFont="1"/>
    <xf numFmtId="182" fontId="168" fillId="0" borderId="5" xfId="0" applyNumberFormat="1" applyFont="1" applyBorder="1"/>
    <xf numFmtId="43" fontId="16" fillId="0" borderId="5" xfId="215" applyNumberFormat="1" applyFont="1" applyBorder="1"/>
    <xf numFmtId="182" fontId="16" fillId="0" borderId="5" xfId="215" applyNumberFormat="1" applyFont="1" applyBorder="1"/>
    <xf numFmtId="43" fontId="16" fillId="0" borderId="5" xfId="215" applyNumberFormat="1" applyFont="1" applyBorder="1" applyAlignment="1">
      <alignment horizontal="right"/>
    </xf>
    <xf numFmtId="37" fontId="10" fillId="0" borderId="0" xfId="0" applyFont="1" applyAlignment="1">
      <alignment horizontal="left" indent="1"/>
    </xf>
    <xf numFmtId="41" fontId="10" fillId="0" borderId="0" xfId="0" applyNumberFormat="1" applyFont="1"/>
    <xf numFmtId="0" fontId="10" fillId="0" borderId="0" xfId="0" applyNumberFormat="1" applyFont="1"/>
    <xf numFmtId="0" fontId="11" fillId="0" borderId="0" xfId="239" applyFont="1" applyAlignment="1">
      <alignment horizontal="left"/>
    </xf>
    <xf numFmtId="0" fontId="11" fillId="0" borderId="0" xfId="0" applyNumberFormat="1" applyFont="1" applyAlignment="1">
      <alignment horizontal="center"/>
    </xf>
    <xf numFmtId="37" fontId="11" fillId="0" borderId="23" xfId="0" applyFont="1" applyBorder="1" applyAlignment="1">
      <alignment horizontal="center"/>
    </xf>
    <xf numFmtId="37" fontId="11" fillId="0" borderId="0" xfId="0" applyFont="1" applyAlignment="1">
      <alignment horizontal="left" indent="2"/>
    </xf>
    <xf numFmtId="37" fontId="11" fillId="0" borderId="0" xfId="239" applyNumberFormat="1" applyFont="1" applyAlignment="1">
      <alignment horizontal="left"/>
    </xf>
    <xf numFmtId="41" fontId="10" fillId="0" borderId="23" xfId="0" applyNumberFormat="1" applyFont="1" applyBorder="1"/>
    <xf numFmtId="41" fontId="10" fillId="0" borderId="5" xfId="0" applyNumberFormat="1" applyFont="1" applyBorder="1"/>
    <xf numFmtId="41" fontId="10" fillId="0" borderId="59" xfId="0" applyNumberFormat="1" applyFont="1" applyBorder="1"/>
    <xf numFmtId="37" fontId="11" fillId="0" borderId="0" xfId="239" applyNumberFormat="1" applyFont="1"/>
    <xf numFmtId="180" fontId="10" fillId="0" borderId="0" xfId="0" applyNumberFormat="1" applyFont="1"/>
    <xf numFmtId="39" fontId="10" fillId="0" borderId="0" xfId="0" applyNumberFormat="1" applyFont="1"/>
    <xf numFmtId="43" fontId="10" fillId="0" borderId="0" xfId="0" applyNumberFormat="1" applyFont="1"/>
    <xf numFmtId="183" fontId="10" fillId="0" borderId="0" xfId="0" applyNumberFormat="1" applyFont="1"/>
    <xf numFmtId="37" fontId="135" fillId="0" borderId="0" xfId="0" applyFont="1"/>
    <xf numFmtId="39" fontId="10" fillId="0" borderId="0" xfId="0" applyNumberFormat="1" applyFont="1" applyAlignment="1">
      <alignment horizontal="center"/>
    </xf>
    <xf numFmtId="0" fontId="11" fillId="0" borderId="0" xfId="239" applyFont="1"/>
    <xf numFmtId="0" fontId="11" fillId="0" borderId="0" xfId="239" applyFont="1" applyAlignment="1">
      <alignment horizontal="center"/>
    </xf>
    <xf numFmtId="0" fontId="10" fillId="0" borderId="0" xfId="306" applyFont="1"/>
    <xf numFmtId="37" fontId="11" fillId="0" borderId="0" xfId="306" applyNumberFormat="1" applyFont="1"/>
    <xf numFmtId="0" fontId="11" fillId="0" borderId="0" xfId="306" applyFont="1"/>
    <xf numFmtId="37" fontId="11" fillId="0" borderId="0" xfId="306" applyNumberFormat="1" applyFont="1" applyAlignment="1">
      <alignment horizontal="center"/>
    </xf>
    <xf numFmtId="0" fontId="16" fillId="0" borderId="0" xfId="306" applyFont="1"/>
    <xf numFmtId="0" fontId="20" fillId="0" borderId="0" xfId="306" applyFont="1"/>
    <xf numFmtId="0" fontId="16" fillId="0" borderId="0" xfId="306" applyFont="1" applyAlignment="1">
      <alignment horizontal="center"/>
    </xf>
    <xf numFmtId="0" fontId="18" fillId="0" borderId="0" xfId="306" applyFont="1" applyAlignment="1">
      <alignment horizontal="center"/>
    </xf>
    <xf numFmtId="0" fontId="18" fillId="0" borderId="0" xfId="306" applyFont="1" applyAlignment="1">
      <alignment horizontal="left"/>
    </xf>
    <xf numFmtId="0" fontId="25" fillId="0" borderId="0" xfId="306" applyFont="1" applyAlignment="1">
      <alignment horizontal="center"/>
    </xf>
    <xf numFmtId="14" fontId="25" fillId="0" borderId="0" xfId="306" quotePrefix="1" applyNumberFormat="1" applyFont="1" applyAlignment="1">
      <alignment horizontal="center"/>
    </xf>
    <xf numFmtId="14" fontId="16" fillId="0" borderId="0" xfId="306" applyNumberFormat="1" applyFont="1" applyAlignment="1">
      <alignment horizontal="center"/>
    </xf>
    <xf numFmtId="14" fontId="25" fillId="0" borderId="0" xfId="306" applyNumberFormat="1" applyFont="1" applyAlignment="1">
      <alignment horizontal="center"/>
    </xf>
    <xf numFmtId="44" fontId="16" fillId="0" borderId="0" xfId="306" applyNumberFormat="1" applyFont="1"/>
    <xf numFmtId="43" fontId="16" fillId="0" borderId="0" xfId="306" applyNumberFormat="1" applyFont="1"/>
    <xf numFmtId="43" fontId="16" fillId="0" borderId="5" xfId="306" applyNumberFormat="1" applyFont="1" applyBorder="1"/>
    <xf numFmtId="44" fontId="16" fillId="0" borderId="24" xfId="306" applyNumberFormat="1" applyFont="1" applyBorder="1"/>
    <xf numFmtId="43" fontId="20" fillId="0" borderId="0" xfId="306" applyNumberFormat="1" applyFont="1"/>
    <xf numFmtId="44" fontId="20" fillId="0" borderId="0" xfId="306" applyNumberFormat="1" applyFont="1"/>
    <xf numFmtId="37" fontId="11" fillId="0" borderId="0" xfId="239" applyNumberFormat="1" applyFont="1" applyAlignment="1">
      <alignment horizontal="center"/>
    </xf>
    <xf numFmtId="0" fontId="10" fillId="0" borderId="0" xfId="239" applyFont="1"/>
    <xf numFmtId="43" fontId="10" fillId="0" borderId="0" xfId="239" applyNumberFormat="1" applyFont="1"/>
    <xf numFmtId="0" fontId="26" fillId="0" borderId="0" xfId="239" applyFont="1" applyAlignment="1">
      <alignment horizontal="center"/>
    </xf>
    <xf numFmtId="0" fontId="26" fillId="0" borderId="0" xfId="239" applyFont="1"/>
    <xf numFmtId="43" fontId="26" fillId="0" borderId="0" xfId="239" applyNumberFormat="1" applyFont="1"/>
    <xf numFmtId="0" fontId="27" fillId="0" borderId="0" xfId="239" applyFont="1" applyAlignment="1">
      <alignment horizontal="center"/>
    </xf>
    <xf numFmtId="43" fontId="33" fillId="0" borderId="0" xfId="239" applyNumberFormat="1" applyFont="1" applyAlignment="1">
      <alignment horizontal="center"/>
    </xf>
    <xf numFmtId="0" fontId="10" fillId="0" borderId="0" xfId="239" applyFont="1" applyAlignment="1">
      <alignment horizontal="left"/>
    </xf>
    <xf numFmtId="42" fontId="10" fillId="0" borderId="0" xfId="239" applyNumberFormat="1" applyFont="1"/>
    <xf numFmtId="41" fontId="10" fillId="0" borderId="0" xfId="239" applyNumberFormat="1" applyFont="1"/>
    <xf numFmtId="41" fontId="10" fillId="0" borderId="23" xfId="239" applyNumberFormat="1" applyFont="1" applyBorder="1"/>
    <xf numFmtId="41" fontId="10" fillId="0" borderId="5" xfId="239" applyNumberFormat="1" applyFont="1" applyBorder="1"/>
    <xf numFmtId="42" fontId="10" fillId="0" borderId="24" xfId="239" applyNumberFormat="1" applyFont="1" applyBorder="1"/>
    <xf numFmtId="41" fontId="16" fillId="0" borderId="0" xfId="239" applyNumberFormat="1" applyFont="1"/>
    <xf numFmtId="41" fontId="10" fillId="0" borderId="0" xfId="239" applyNumberFormat="1" applyFont="1" applyAlignment="1">
      <alignment horizontal="center"/>
    </xf>
    <xf numFmtId="41" fontId="10" fillId="0" borderId="39" xfId="239" applyNumberFormat="1" applyFont="1" applyBorder="1"/>
    <xf numFmtId="0" fontId="10" fillId="0" borderId="0" xfId="239" applyFont="1" applyAlignment="1">
      <alignment horizontal="right"/>
    </xf>
    <xf numFmtId="41" fontId="11" fillId="0" borderId="0" xfId="239" applyNumberFormat="1" applyFont="1" applyAlignment="1">
      <alignment horizontal="center"/>
    </xf>
    <xf numFmtId="41" fontId="11" fillId="0" borderId="0" xfId="239" applyNumberFormat="1" applyFont="1" applyAlignment="1">
      <alignment horizontal="right"/>
    </xf>
    <xf numFmtId="0" fontId="11" fillId="0" borderId="0" xfId="239" applyFont="1" applyAlignment="1">
      <alignment horizontal="right"/>
    </xf>
    <xf numFmtId="0" fontId="20" fillId="0" borderId="0" xfId="239" applyFont="1"/>
    <xf numFmtId="14" fontId="27" fillId="0" borderId="0" xfId="239" applyNumberFormat="1" applyFont="1" applyAlignment="1">
      <alignment horizontal="center"/>
    </xf>
    <xf numFmtId="0" fontId="34" fillId="0" borderId="0" xfId="239" applyFont="1" applyAlignment="1">
      <alignment horizontal="center"/>
    </xf>
    <xf numFmtId="10" fontId="10" fillId="0" borderId="0" xfId="239" applyNumberFormat="1" applyFont="1"/>
    <xf numFmtId="37" fontId="10" fillId="0" borderId="0" xfId="239" applyNumberFormat="1" applyFont="1"/>
    <xf numFmtId="0" fontId="139" fillId="0" borderId="0" xfId="239" applyFont="1"/>
    <xf numFmtId="0" fontId="10" fillId="0" borderId="0" xfId="239" applyFont="1" applyAlignment="1">
      <alignment horizontal="center"/>
    </xf>
    <xf numFmtId="0" fontId="76" fillId="0" borderId="0" xfId="281" applyFont="1"/>
    <xf numFmtId="0" fontId="11" fillId="0" borderId="0" xfId="221" applyFont="1"/>
    <xf numFmtId="0" fontId="10" fillId="0" borderId="0" xfId="221" applyFont="1"/>
    <xf numFmtId="0" fontId="82" fillId="0" borderId="0" xfId="281" applyFont="1"/>
    <xf numFmtId="0" fontId="11" fillId="0" borderId="0" xfId="221" applyFont="1" applyAlignment="1">
      <alignment horizontal="center"/>
    </xf>
    <xf numFmtId="0" fontId="83" fillId="0" borderId="0" xfId="281" applyFont="1"/>
    <xf numFmtId="166" fontId="10" fillId="0" borderId="0" xfId="306" quotePrefix="1" applyNumberFormat="1" applyFont="1" applyAlignment="1">
      <alignment horizontal="left"/>
    </xf>
    <xf numFmtId="44" fontId="10" fillId="0" borderId="0" xfId="306" applyNumberFormat="1" applyFont="1"/>
    <xf numFmtId="0" fontId="10" fillId="0" borderId="0" xfId="306" applyFont="1" applyAlignment="1">
      <alignment horizontal="center"/>
    </xf>
    <xf numFmtId="0" fontId="11" fillId="0" borderId="0" xfId="306" applyFont="1" applyAlignment="1">
      <alignment horizontal="left"/>
    </xf>
    <xf numFmtId="0" fontId="10" fillId="0" borderId="23" xfId="306" applyFont="1" applyBorder="1" applyAlignment="1">
      <alignment horizontal="center"/>
    </xf>
    <xf numFmtId="14" fontId="10" fillId="0" borderId="23" xfId="306" quotePrefix="1" applyNumberFormat="1" applyFont="1" applyBorder="1" applyAlignment="1">
      <alignment horizontal="center"/>
    </xf>
    <xf numFmtId="14" fontId="10" fillId="0" borderId="23" xfId="306" applyNumberFormat="1" applyFont="1" applyBorder="1" applyAlignment="1">
      <alignment horizontal="center"/>
    </xf>
    <xf numFmtId="0" fontId="10" fillId="0" borderId="0" xfId="306" applyFont="1" applyAlignment="1">
      <alignment horizontal="fill"/>
    </xf>
    <xf numFmtId="43" fontId="10" fillId="0" borderId="0" xfId="306" applyNumberFormat="1" applyFont="1"/>
    <xf numFmtId="9" fontId="10" fillId="0" borderId="0" xfId="306" applyNumberFormat="1" applyFont="1"/>
    <xf numFmtId="10" fontId="10" fillId="0" borderId="0" xfId="306" applyNumberFormat="1" applyFont="1"/>
    <xf numFmtId="49" fontId="0" fillId="0" borderId="0" xfId="0" applyNumberFormat="1" applyAlignment="1">
      <alignment horizontal="left"/>
    </xf>
    <xf numFmtId="43" fontId="10" fillId="0" borderId="5" xfId="306" applyNumberFormat="1" applyFont="1" applyBorder="1"/>
    <xf numFmtId="0" fontId="10" fillId="0" borderId="0" xfId="306" applyFont="1" applyAlignment="1">
      <alignment horizontal="right"/>
    </xf>
    <xf numFmtId="0" fontId="141" fillId="0" borderId="0" xfId="306" applyFont="1" applyAlignment="1">
      <alignment horizontal="center"/>
    </xf>
    <xf numFmtId="44" fontId="10" fillId="0" borderId="24" xfId="306" applyNumberFormat="1" applyFont="1" applyBorder="1"/>
    <xf numFmtId="39" fontId="10" fillId="0" borderId="0" xfId="306" applyNumberFormat="1" applyFont="1"/>
    <xf numFmtId="4" fontId="10" fillId="0" borderId="0" xfId="306" applyNumberFormat="1" applyFont="1"/>
    <xf numFmtId="37" fontId="11" fillId="0" borderId="0" xfId="221" applyNumberFormat="1" applyFont="1" applyAlignment="1">
      <alignment horizontal="center"/>
    </xf>
    <xf numFmtId="0" fontId="23" fillId="0" borderId="0" xfId="318" applyFont="1" applyAlignment="1">
      <alignment horizontal="center" vertical="top"/>
    </xf>
    <xf numFmtId="0" fontId="83" fillId="0" borderId="0" xfId="318" applyFont="1"/>
    <xf numFmtId="0" fontId="13" fillId="0" borderId="0" xfId="318"/>
    <xf numFmtId="0" fontId="11" fillId="0" borderId="0" xfId="318" applyFont="1"/>
    <xf numFmtId="0" fontId="13" fillId="0" borderId="0" xfId="318" applyAlignment="1">
      <alignment wrapText="1"/>
    </xf>
    <xf numFmtId="0" fontId="10" fillId="0" borderId="0" xfId="318" applyFont="1" applyAlignment="1">
      <alignment vertical="top"/>
    </xf>
    <xf numFmtId="0" fontId="82" fillId="0" borderId="0" xfId="318" applyFont="1" applyAlignment="1">
      <alignment wrapText="1"/>
    </xf>
    <xf numFmtId="0" fontId="13" fillId="0" borderId="0" xfId="318" applyAlignment="1">
      <alignment vertical="top"/>
    </xf>
    <xf numFmtId="0" fontId="10" fillId="0" borderId="0" xfId="318" applyFont="1"/>
    <xf numFmtId="43" fontId="13" fillId="0" borderId="0" xfId="318" applyNumberFormat="1"/>
    <xf numFmtId="43" fontId="13" fillId="0" borderId="0" xfId="78" applyFont="1" applyFill="1" applyBorder="1"/>
    <xf numFmtId="0" fontId="11" fillId="0" borderId="0" xfId="318" applyFont="1" applyAlignment="1">
      <alignment vertical="top"/>
    </xf>
    <xf numFmtId="43" fontId="10" fillId="0" borderId="0" xfId="318" applyNumberFormat="1" applyFont="1"/>
    <xf numFmtId="171" fontId="85" fillId="0" borderId="0" xfId="318" applyNumberFormat="1" applyFont="1"/>
    <xf numFmtId="0" fontId="82" fillId="0" borderId="0" xfId="318" applyFont="1"/>
    <xf numFmtId="171" fontId="10" fillId="0" borderId="0" xfId="78" applyNumberFormat="1" applyFont="1" applyFill="1" applyBorder="1"/>
    <xf numFmtId="171" fontId="13" fillId="0" borderId="0" xfId="78" applyNumberFormat="1" applyFont="1" applyFill="1" applyBorder="1"/>
    <xf numFmtId="43" fontId="10" fillId="0" borderId="0" xfId="78" applyFont="1" applyFill="1" applyBorder="1"/>
    <xf numFmtId="171" fontId="135" fillId="0" borderId="0" xfId="78" applyNumberFormat="1" applyFont="1" applyFill="1" applyBorder="1"/>
    <xf numFmtId="0" fontId="10" fillId="0" borderId="0" xfId="318" applyFont="1" applyAlignment="1">
      <alignment vertical="top" wrapText="1"/>
    </xf>
    <xf numFmtId="171" fontId="10" fillId="0" borderId="0" xfId="78" applyNumberFormat="1" applyFont="1" applyFill="1" applyBorder="1" applyAlignment="1"/>
    <xf numFmtId="171" fontId="13" fillId="0" borderId="0" xfId="318" applyNumberFormat="1"/>
    <xf numFmtId="171" fontId="13" fillId="0" borderId="0" xfId="78" applyNumberFormat="1" applyFont="1" applyFill="1"/>
    <xf numFmtId="37" fontId="125" fillId="0" borderId="0" xfId="0" applyFont="1" applyAlignment="1">
      <alignment horizontal="center"/>
    </xf>
    <xf numFmtId="0" fontId="120" fillId="0" borderId="0" xfId="318" applyFont="1"/>
    <xf numFmtId="37" fontId="125" fillId="0" borderId="0" xfId="0" applyFont="1"/>
    <xf numFmtId="37" fontId="120" fillId="0" borderId="0" xfId="0" applyFont="1"/>
    <xf numFmtId="0" fontId="125" fillId="0" borderId="0" xfId="318" applyFont="1" applyAlignment="1">
      <alignment horizontal="right"/>
    </xf>
    <xf numFmtId="0" fontId="125" fillId="0" borderId="0" xfId="318" applyFont="1"/>
    <xf numFmtId="37" fontId="126" fillId="0" borderId="0" xfId="0" applyFont="1"/>
    <xf numFmtId="37" fontId="127" fillId="0" borderId="0" xfId="0" applyFont="1" applyAlignment="1">
      <alignment horizontal="center"/>
    </xf>
    <xf numFmtId="37" fontId="127" fillId="0" borderId="0" xfId="0" applyFont="1"/>
    <xf numFmtId="37" fontId="127" fillId="0" borderId="23" xfId="0" applyFont="1" applyBorder="1" applyAlignment="1">
      <alignment horizontal="center"/>
    </xf>
    <xf numFmtId="42" fontId="126" fillId="0" borderId="0" xfId="0" applyNumberFormat="1" applyFont="1"/>
    <xf numFmtId="41" fontId="126" fillId="0" borderId="0" xfId="0" applyNumberFormat="1" applyFont="1"/>
    <xf numFmtId="41" fontId="126" fillId="0" borderId="23" xfId="0" applyNumberFormat="1" applyFont="1" applyBorder="1"/>
    <xf numFmtId="41" fontId="126" fillId="0" borderId="5" xfId="0" applyNumberFormat="1" applyFont="1" applyBorder="1"/>
    <xf numFmtId="41" fontId="126" fillId="0" borderId="42" xfId="0" applyNumberFormat="1" applyFont="1" applyBorder="1"/>
    <xf numFmtId="41" fontId="131" fillId="0" borderId="0" xfId="0" applyNumberFormat="1" applyFont="1"/>
    <xf numFmtId="0" fontId="135" fillId="0" borderId="0" xfId="318" applyFont="1"/>
    <xf numFmtId="41" fontId="126" fillId="0" borderId="25" xfId="0" applyNumberFormat="1" applyFont="1" applyBorder="1"/>
    <xf numFmtId="42" fontId="126" fillId="0" borderId="24" xfId="0" applyNumberFormat="1" applyFont="1" applyBorder="1"/>
    <xf numFmtId="0" fontId="128" fillId="0" borderId="0" xfId="318" applyFont="1" applyAlignment="1">
      <alignment horizontal="center" vertical="top"/>
    </xf>
    <xf numFmtId="0" fontId="120" fillId="0" borderId="0" xfId="318" applyFont="1" applyAlignment="1">
      <alignment wrapText="1"/>
    </xf>
    <xf numFmtId="0" fontId="120" fillId="0" borderId="0" xfId="318" applyFont="1" applyAlignment="1">
      <alignment vertical="top" wrapText="1"/>
    </xf>
    <xf numFmtId="0" fontId="120" fillId="0" borderId="0" xfId="318" applyFont="1" applyAlignment="1">
      <alignment vertical="top"/>
    </xf>
    <xf numFmtId="0" fontId="120" fillId="0" borderId="0" xfId="318" applyFont="1" applyAlignment="1">
      <alignment horizontal="left" vertical="top"/>
    </xf>
    <xf numFmtId="43" fontId="120" fillId="0" borderId="0" xfId="318" applyNumberFormat="1" applyFont="1"/>
    <xf numFmtId="43" fontId="125" fillId="0" borderId="0" xfId="78" applyFont="1" applyFill="1" applyBorder="1"/>
    <xf numFmtId="0" fontId="125" fillId="0" borderId="0" xfId="318" applyFont="1" applyAlignment="1">
      <alignment vertical="top"/>
    </xf>
    <xf numFmtId="0" fontId="120" fillId="0" borderId="0" xfId="318" applyFont="1" applyAlignment="1">
      <alignment horizontal="center"/>
    </xf>
    <xf numFmtId="4" fontId="120" fillId="0" borderId="0" xfId="318" applyNumberFormat="1" applyFont="1"/>
    <xf numFmtId="43" fontId="125" fillId="0" borderId="0" xfId="318" applyNumberFormat="1" applyFont="1"/>
    <xf numFmtId="171" fontId="125" fillId="0" borderId="0" xfId="318" applyNumberFormat="1" applyFont="1"/>
    <xf numFmtId="4" fontId="125" fillId="0" borderId="0" xfId="318" applyNumberFormat="1" applyFont="1"/>
    <xf numFmtId="0" fontId="127" fillId="0" borderId="0" xfId="318" applyFont="1"/>
    <xf numFmtId="0" fontId="127" fillId="0" borderId="0" xfId="318" applyFont="1" applyAlignment="1">
      <alignment horizontal="center"/>
    </xf>
    <xf numFmtId="41" fontId="126" fillId="0" borderId="7" xfId="0" applyNumberFormat="1" applyFont="1" applyBorder="1"/>
    <xf numFmtId="3" fontId="120" fillId="0" borderId="0" xfId="318" applyNumberFormat="1" applyFont="1"/>
    <xf numFmtId="49" fontId="120" fillId="0" borderId="0" xfId="318" applyNumberFormat="1" applyFont="1" applyAlignment="1">
      <alignment horizontal="center"/>
    </xf>
    <xf numFmtId="49" fontId="127" fillId="0" borderId="0" xfId="318" applyNumberFormat="1" applyFont="1" applyAlignment="1">
      <alignment horizontal="center" wrapText="1"/>
    </xf>
    <xf numFmtId="49" fontId="120" fillId="0" borderId="0" xfId="0" applyNumberFormat="1" applyFont="1"/>
    <xf numFmtId="49" fontId="127" fillId="0" borderId="0" xfId="0" applyNumberFormat="1" applyFont="1" applyAlignment="1">
      <alignment horizontal="center"/>
    </xf>
    <xf numFmtId="49" fontId="127" fillId="0" borderId="0" xfId="318" applyNumberFormat="1" applyFont="1"/>
    <xf numFmtId="49" fontId="120" fillId="0" borderId="0" xfId="318" applyNumberFormat="1" applyFont="1"/>
    <xf numFmtId="49" fontId="127" fillId="0" borderId="23" xfId="0" applyNumberFormat="1" applyFont="1" applyBorder="1" applyAlignment="1">
      <alignment horizontal="center"/>
    </xf>
    <xf numFmtId="49" fontId="127" fillId="0" borderId="0" xfId="0" applyNumberFormat="1" applyFont="1"/>
    <xf numFmtId="41" fontId="120" fillId="0" borderId="0" xfId="318" applyNumberFormat="1" applyFont="1"/>
    <xf numFmtId="41" fontId="126" fillId="0" borderId="59" xfId="0" applyNumberFormat="1" applyFont="1" applyBorder="1"/>
    <xf numFmtId="0" fontId="120" fillId="0" borderId="0" xfId="194" applyFont="1"/>
    <xf numFmtId="0" fontId="120" fillId="0" borderId="0" xfId="194" applyFont="1" applyAlignment="1">
      <alignment horizontal="left" vertical="center" wrapText="1"/>
    </xf>
    <xf numFmtId="0" fontId="120" fillId="0" borderId="0" xfId="194" applyFont="1" applyAlignment="1">
      <alignment horizontal="center"/>
    </xf>
    <xf numFmtId="43" fontId="120" fillId="0" borderId="0" xfId="194" applyNumberFormat="1" applyFont="1"/>
    <xf numFmtId="43" fontId="120" fillId="0" borderId="0" xfId="194" applyNumberFormat="1" applyFont="1" applyAlignment="1">
      <alignment horizontal="left" vertical="center" wrapText="1"/>
    </xf>
    <xf numFmtId="37" fontId="32" fillId="0" borderId="0" xfId="0" applyFont="1"/>
    <xf numFmtId="37" fontId="0" fillId="0" borderId="0" xfId="0" applyAlignment="1">
      <alignment wrapText="1"/>
    </xf>
    <xf numFmtId="0" fontId="10" fillId="0" borderId="0" xfId="194" applyFont="1"/>
    <xf numFmtId="37" fontId="11" fillId="0" borderId="0" xfId="221" applyNumberFormat="1" applyFont="1"/>
    <xf numFmtId="170" fontId="124" fillId="0" borderId="0" xfId="323" applyNumberFormat="1" applyFont="1" applyFill="1" applyBorder="1" applyAlignment="1">
      <alignment wrapText="1"/>
    </xf>
    <xf numFmtId="0" fontId="119" fillId="0" borderId="0" xfId="281"/>
    <xf numFmtId="43" fontId="119" fillId="0" borderId="0" xfId="281" applyNumberFormat="1"/>
    <xf numFmtId="14" fontId="119" fillId="0" borderId="0" xfId="281" applyNumberFormat="1"/>
    <xf numFmtId="43" fontId="138" fillId="0" borderId="0" xfId="281" applyNumberFormat="1" applyFont="1"/>
    <xf numFmtId="43" fontId="119" fillId="0" borderId="2" xfId="281" applyNumberFormat="1" applyBorder="1"/>
    <xf numFmtId="43" fontId="119" fillId="0" borderId="5" xfId="281" applyNumberFormat="1" applyBorder="1"/>
    <xf numFmtId="43" fontId="119" fillId="0" borderId="39" xfId="281" applyNumberFormat="1" applyBorder="1"/>
    <xf numFmtId="0" fontId="138" fillId="0" borderId="0" xfId="281" applyFont="1"/>
    <xf numFmtId="41" fontId="173" fillId="0" borderId="0" xfId="0" applyNumberFormat="1" applyFont="1"/>
    <xf numFmtId="37" fontId="26" fillId="0" borderId="0" xfId="0" applyFont="1" applyAlignment="1">
      <alignment horizontal="right"/>
    </xf>
    <xf numFmtId="4" fontId="120" fillId="0" borderId="0" xfId="194" applyNumberFormat="1" applyFont="1"/>
    <xf numFmtId="10" fontId="120" fillId="0" borderId="0" xfId="194" applyNumberFormat="1" applyFont="1"/>
    <xf numFmtId="0" fontId="120" fillId="0" borderId="0" xfId="194" applyFont="1" applyAlignment="1">
      <alignment horizontal="center" wrapText="1"/>
    </xf>
    <xf numFmtId="0" fontId="120" fillId="0" borderId="0" xfId="194" quotePrefix="1" applyFont="1"/>
    <xf numFmtId="37" fontId="124" fillId="0" borderId="0" xfId="0" applyFont="1"/>
    <xf numFmtId="37" fontId="32" fillId="0" borderId="0" xfId="0" applyFont="1" applyAlignment="1">
      <alignment wrapText="1"/>
    </xf>
    <xf numFmtId="37" fontId="172" fillId="0" borderId="0" xfId="0" applyFont="1"/>
    <xf numFmtId="37" fontId="176" fillId="0" borderId="0" xfId="0" applyFont="1" applyAlignment="1">
      <alignment horizontal="center"/>
    </xf>
    <xf numFmtId="41" fontId="177" fillId="0" borderId="0" xfId="0" applyNumberFormat="1" applyFont="1"/>
    <xf numFmtId="171" fontId="176" fillId="0" borderId="0" xfId="78" applyNumberFormat="1" applyFont="1" applyFill="1" applyBorder="1"/>
    <xf numFmtId="37" fontId="129" fillId="0" borderId="0" xfId="0" applyFont="1" applyAlignment="1">
      <alignment horizontal="center"/>
    </xf>
    <xf numFmtId="37" fontId="129" fillId="0" borderId="0" xfId="0" applyFont="1"/>
    <xf numFmtId="37" fontId="125" fillId="0" borderId="0" xfId="239" applyNumberFormat="1" applyFont="1" applyAlignment="1">
      <alignment horizontal="left"/>
    </xf>
    <xf numFmtId="0" fontId="120" fillId="0" borderId="0" xfId="239" applyFont="1"/>
    <xf numFmtId="0" fontId="125" fillId="0" borderId="0" xfId="239" applyFont="1" applyAlignment="1">
      <alignment horizontal="center"/>
    </xf>
    <xf numFmtId="37" fontId="136" fillId="0" borderId="0" xfId="0" applyFont="1" applyAlignment="1">
      <alignment horizontal="center"/>
    </xf>
    <xf numFmtId="14" fontId="123" fillId="0" borderId="0" xfId="281" applyNumberFormat="1" applyFont="1"/>
    <xf numFmtId="37" fontId="130" fillId="0" borderId="0" xfId="0" applyFont="1"/>
    <xf numFmtId="0" fontId="123" fillId="0" borderId="0" xfId="281" applyFont="1"/>
    <xf numFmtId="0" fontId="119" fillId="0" borderId="0" xfId="281" applyAlignment="1">
      <alignment horizontal="center"/>
    </xf>
    <xf numFmtId="0" fontId="123" fillId="0" borderId="0" xfId="281" applyFont="1" applyAlignment="1">
      <alignment vertical="top"/>
    </xf>
    <xf numFmtId="43" fontId="123" fillId="0" borderId="0" xfId="281" applyNumberFormat="1" applyFont="1" applyAlignment="1">
      <alignment vertical="top"/>
    </xf>
    <xf numFmtId="43" fontId="123" fillId="0" borderId="0" xfId="281" applyNumberFormat="1" applyFont="1" applyAlignment="1">
      <alignment vertical="center"/>
    </xf>
    <xf numFmtId="49" fontId="123" fillId="0" borderId="0" xfId="281" applyNumberFormat="1" applyFont="1" applyAlignment="1">
      <alignment horizontal="justify" vertical="top" wrapText="1"/>
    </xf>
    <xf numFmtId="43" fontId="119" fillId="0" borderId="0" xfId="281" applyNumberFormat="1" applyAlignment="1">
      <alignment horizontal="center"/>
    </xf>
    <xf numFmtId="43" fontId="125" fillId="0" borderId="0" xfId="281" applyNumberFormat="1" applyFont="1"/>
    <xf numFmtId="44" fontId="123" fillId="0" borderId="0" xfId="281" applyNumberFormat="1" applyFont="1" applyAlignment="1">
      <alignment vertical="top"/>
    </xf>
    <xf numFmtId="44" fontId="123" fillId="0" borderId="0" xfId="281" applyNumberFormat="1" applyFont="1" applyAlignment="1">
      <alignment vertical="center"/>
    </xf>
    <xf numFmtId="43" fontId="119" fillId="0" borderId="0" xfId="281" applyNumberFormat="1" applyAlignment="1">
      <alignment horizontal="left" wrapText="1"/>
    </xf>
    <xf numFmtId="49" fontId="123" fillId="0" borderId="0" xfId="281" applyNumberFormat="1" applyFont="1" applyAlignment="1">
      <alignment vertical="top" wrapText="1"/>
    </xf>
    <xf numFmtId="0" fontId="123" fillId="0" borderId="0" xfId="281" applyFont="1" applyAlignment="1">
      <alignment vertical="center"/>
    </xf>
    <xf numFmtId="43" fontId="123" fillId="0" borderId="0" xfId="281" applyNumberFormat="1" applyFont="1" applyAlignment="1">
      <alignment horizontal="left" wrapText="1"/>
    </xf>
    <xf numFmtId="44" fontId="123" fillId="0" borderId="0" xfId="281" applyNumberFormat="1" applyFont="1"/>
    <xf numFmtId="43" fontId="123" fillId="0" borderId="0" xfId="281" applyNumberFormat="1" applyFont="1"/>
    <xf numFmtId="43" fontId="125" fillId="0" borderId="0" xfId="281" applyNumberFormat="1" applyFont="1" applyAlignment="1">
      <alignment horizontal="center" vertical="top"/>
    </xf>
    <xf numFmtId="37" fontId="125" fillId="0" borderId="0" xfId="239" applyNumberFormat="1" applyFont="1"/>
    <xf numFmtId="0" fontId="125" fillId="0" borderId="0" xfId="239" applyFont="1"/>
    <xf numFmtId="43" fontId="125" fillId="0" borderId="0" xfId="281" applyNumberFormat="1" applyFont="1" applyAlignment="1">
      <alignment horizontal="center"/>
    </xf>
    <xf numFmtId="43" fontId="123" fillId="0" borderId="0" xfId="281" applyNumberFormat="1" applyFont="1" applyAlignment="1">
      <alignment horizontal="center"/>
    </xf>
    <xf numFmtId="0" fontId="126" fillId="0" borderId="0" xfId="266" applyFont="1"/>
    <xf numFmtId="43" fontId="126" fillId="0" borderId="0" xfId="266" applyNumberFormat="1" applyFont="1"/>
    <xf numFmtId="44" fontId="126" fillId="0" borderId="0" xfId="266" applyNumberFormat="1" applyFont="1"/>
    <xf numFmtId="49" fontId="126" fillId="0" borderId="0" xfId="266" applyNumberFormat="1" applyFont="1" applyAlignment="1">
      <alignment vertical="center" wrapText="1"/>
    </xf>
    <xf numFmtId="0" fontId="126" fillId="0" borderId="0" xfId="266" applyFont="1" applyAlignment="1">
      <alignment horizontal="center"/>
    </xf>
    <xf numFmtId="49" fontId="126" fillId="0" borderId="0" xfId="266" applyNumberFormat="1" applyFont="1" applyAlignment="1">
      <alignment horizontal="left" vertical="center" wrapText="1"/>
    </xf>
    <xf numFmtId="49" fontId="130" fillId="0" borderId="0" xfId="193" applyNumberFormat="1" applyFont="1" applyAlignment="1">
      <alignment horizontal="center" vertical="top" wrapText="1"/>
    </xf>
    <xf numFmtId="49" fontId="130" fillId="0" borderId="0" xfId="193" applyNumberFormat="1" applyFont="1" applyAlignment="1">
      <alignment vertical="top" wrapText="1"/>
    </xf>
    <xf numFmtId="43" fontId="126" fillId="0" borderId="0" xfId="266" applyNumberFormat="1" applyFont="1" applyAlignment="1">
      <alignment wrapText="1"/>
    </xf>
    <xf numFmtId="37" fontId="130" fillId="0" borderId="0" xfId="0" applyFont="1" applyAlignment="1">
      <alignment wrapText="1"/>
    </xf>
    <xf numFmtId="49" fontId="130" fillId="0" borderId="0" xfId="0" applyNumberFormat="1" applyFont="1" applyAlignment="1">
      <alignment horizontal="justify" vertical="top" wrapText="1"/>
    </xf>
    <xf numFmtId="49" fontId="126" fillId="0" borderId="0" xfId="266" applyNumberFormat="1" applyFont="1"/>
    <xf numFmtId="49" fontId="130" fillId="0" borderId="0" xfId="0" applyNumberFormat="1" applyFont="1" applyAlignment="1">
      <alignment horizontal="center" vertical="top" wrapText="1"/>
    </xf>
    <xf numFmtId="37" fontId="120" fillId="0" borderId="0" xfId="0" applyFont="1" applyAlignment="1">
      <alignment vertical="top" wrapText="1"/>
    </xf>
    <xf numFmtId="49" fontId="126" fillId="0" borderId="0" xfId="266" applyNumberFormat="1" applyFont="1" applyAlignment="1">
      <alignment horizontal="center"/>
    </xf>
    <xf numFmtId="0" fontId="13" fillId="0" borderId="0" xfId="318" applyAlignment="1">
      <alignment horizontal="justify" vertical="top" wrapText="1"/>
    </xf>
    <xf numFmtId="37" fontId="9" fillId="0" borderId="0" xfId="0" applyFont="1"/>
    <xf numFmtId="49" fontId="179" fillId="0" borderId="0" xfId="281" applyNumberFormat="1" applyFont="1" applyAlignment="1">
      <alignment vertical="top"/>
    </xf>
    <xf numFmtId="0" fontId="120" fillId="0" borderId="0" xfId="194" applyFont="1" applyAlignment="1">
      <alignment horizontal="left" vertical="center"/>
    </xf>
    <xf numFmtId="0" fontId="120" fillId="0" borderId="0" xfId="194" applyFont="1" applyAlignment="1">
      <alignment horizontal="right"/>
    </xf>
    <xf numFmtId="0" fontId="121" fillId="0" borderId="0" xfId="194" applyFont="1"/>
    <xf numFmtId="43" fontId="120" fillId="0" borderId="0" xfId="101" applyFont="1" applyFill="1"/>
    <xf numFmtId="0" fontId="135" fillId="0" borderId="0" xfId="194" applyFont="1"/>
    <xf numFmtId="43" fontId="121" fillId="0" borderId="0" xfId="194" applyNumberFormat="1" applyFont="1"/>
    <xf numFmtId="177" fontId="120" fillId="0" borderId="0" xfId="194" applyNumberFormat="1" applyFont="1" applyAlignment="1">
      <alignment horizontal="left"/>
    </xf>
    <xf numFmtId="43" fontId="120" fillId="0" borderId="0" xfId="101" applyFont="1" applyFill="1" applyBorder="1"/>
    <xf numFmtId="0" fontId="122" fillId="0" borderId="0" xfId="194" applyFont="1"/>
    <xf numFmtId="1" fontId="122" fillId="0" borderId="0" xfId="194" applyNumberFormat="1" applyFont="1"/>
    <xf numFmtId="43" fontId="10" fillId="0" borderId="0" xfId="194" applyNumberFormat="1" applyFont="1"/>
    <xf numFmtId="171" fontId="122" fillId="0" borderId="0" xfId="101" applyNumberFormat="1" applyFont="1" applyFill="1" applyBorder="1"/>
    <xf numFmtId="14" fontId="120" fillId="0" borderId="0" xfId="194" applyNumberFormat="1" applyFont="1"/>
    <xf numFmtId="2" fontId="10" fillId="0" borderId="0" xfId="194" applyNumberFormat="1" applyFont="1"/>
    <xf numFmtId="39" fontId="0" fillId="0" borderId="0" xfId="0" applyNumberFormat="1"/>
    <xf numFmtId="43" fontId="0" fillId="0" borderId="0" xfId="101" applyFont="1" applyFill="1" applyBorder="1"/>
    <xf numFmtId="43" fontId="10" fillId="0" borderId="2" xfId="78" applyFont="1" applyFill="1" applyBorder="1"/>
    <xf numFmtId="49" fontId="180" fillId="0" borderId="0" xfId="281" applyNumberFormat="1" applyFont="1" applyAlignment="1">
      <alignment vertical="top"/>
    </xf>
    <xf numFmtId="37" fontId="10" fillId="0" borderId="0" xfId="0" quotePrefix="1" applyFont="1" applyAlignment="1">
      <alignment horizontal="center"/>
    </xf>
    <xf numFmtId="37" fontId="11" fillId="0" borderId="0" xfId="0" applyFont="1" applyAlignment="1">
      <alignment horizontal="left" indent="1"/>
    </xf>
    <xf numFmtId="37" fontId="181" fillId="0" borderId="0" xfId="0" applyFont="1" applyAlignment="1">
      <alignment horizontal="left" indent="1"/>
    </xf>
    <xf numFmtId="37" fontId="11" fillId="0" borderId="0" xfId="0" applyFont="1" applyAlignment="1">
      <alignment wrapText="1"/>
    </xf>
    <xf numFmtId="37" fontId="21" fillId="0" borderId="0" xfId="0" applyFont="1" applyAlignment="1">
      <alignment horizontal="center"/>
    </xf>
    <xf numFmtId="41" fontId="10" fillId="0" borderId="25" xfId="0" applyNumberFormat="1" applyFont="1" applyBorder="1"/>
    <xf numFmtId="41" fontId="10" fillId="0" borderId="24" xfId="0" applyNumberFormat="1" applyFont="1" applyBorder="1"/>
    <xf numFmtId="14" fontId="10" fillId="0" borderId="0" xfId="0" applyNumberFormat="1" applyFont="1" applyAlignment="1">
      <alignment horizontal="center"/>
    </xf>
    <xf numFmtId="43" fontId="10" fillId="0" borderId="0" xfId="78" applyFont="1" applyFill="1" applyBorder="1" applyAlignment="1">
      <alignment horizontal="center"/>
    </xf>
    <xf numFmtId="41" fontId="142" fillId="0" borderId="0" xfId="0" applyNumberFormat="1" applyFont="1"/>
    <xf numFmtId="37" fontId="11" fillId="0" borderId="0" xfId="0" quotePrefix="1" applyFont="1" applyAlignment="1">
      <alignment horizontal="center"/>
    </xf>
    <xf numFmtId="14" fontId="11" fillId="0" borderId="0" xfId="0" applyNumberFormat="1" applyFont="1" applyAlignment="1">
      <alignment horizontal="center"/>
    </xf>
    <xf numFmtId="37" fontId="139" fillId="0" borderId="0" xfId="0" applyFont="1"/>
    <xf numFmtId="49" fontId="0" fillId="0" borderId="0" xfId="0" applyNumberFormat="1"/>
    <xf numFmtId="37" fontId="10" fillId="0" borderId="0" xfId="0" applyFont="1" applyAlignment="1">
      <alignment horizontal="right"/>
    </xf>
    <xf numFmtId="43" fontId="10" fillId="0" borderId="0" xfId="0" applyNumberFormat="1" applyFont="1" applyAlignment="1">
      <alignment horizontal="center"/>
    </xf>
    <xf numFmtId="10" fontId="10" fillId="0" borderId="0" xfId="0" applyNumberFormat="1" applyFont="1"/>
    <xf numFmtId="37" fontId="139" fillId="0" borderId="0" xfId="0" applyFont="1" applyAlignment="1">
      <alignment horizontal="left" indent="1"/>
    </xf>
    <xf numFmtId="37" fontId="21" fillId="0" borderId="0" xfId="0" applyFont="1"/>
    <xf numFmtId="37" fontId="10" fillId="0" borderId="5" xfId="0" applyFont="1" applyBorder="1"/>
    <xf numFmtId="37" fontId="11" fillId="0" borderId="5" xfId="0" applyFont="1" applyBorder="1" applyAlignment="1">
      <alignment horizontal="center"/>
    </xf>
    <xf numFmtId="37" fontId="10" fillId="0" borderId="0" xfId="316" applyFont="1"/>
    <xf numFmtId="37" fontId="10" fillId="0" borderId="0" xfId="0" applyFont="1" applyAlignment="1">
      <alignment horizontal="left"/>
    </xf>
    <xf numFmtId="39" fontId="139" fillId="0" borderId="0" xfId="0" applyNumberFormat="1" applyFont="1"/>
    <xf numFmtId="2" fontId="10" fillId="0" borderId="0" xfId="0" applyNumberFormat="1" applyFont="1" applyAlignment="1">
      <alignment horizontal="center"/>
    </xf>
    <xf numFmtId="2" fontId="11" fillId="0" borderId="0" xfId="0" applyNumberFormat="1" applyFont="1" applyAlignment="1">
      <alignment horizontal="center"/>
    </xf>
    <xf numFmtId="43" fontId="120" fillId="0" borderId="0" xfId="78" applyFont="1"/>
    <xf numFmtId="0" fontId="125" fillId="0" borderId="0" xfId="194" applyFont="1"/>
    <xf numFmtId="0" fontId="120" fillId="0" borderId="38" xfId="194" applyFont="1" applyBorder="1"/>
    <xf numFmtId="0" fontId="120" fillId="0" borderId="36" xfId="194" applyFont="1" applyBorder="1" applyAlignment="1">
      <alignment horizontal="right"/>
    </xf>
    <xf numFmtId="0" fontId="120" fillId="0" borderId="36" xfId="194" applyFont="1" applyBorder="1"/>
    <xf numFmtId="0" fontId="120" fillId="0" borderId="37" xfId="194" applyFont="1" applyBorder="1"/>
    <xf numFmtId="0" fontId="120" fillId="0" borderId="22" xfId="194" applyFont="1" applyBorder="1"/>
    <xf numFmtId="0" fontId="120" fillId="0" borderId="31" xfId="194" applyFont="1" applyBorder="1"/>
    <xf numFmtId="0" fontId="120" fillId="0" borderId="32" xfId="194" applyFont="1" applyBorder="1"/>
    <xf numFmtId="0" fontId="120" fillId="0" borderId="17" xfId="194" applyFont="1" applyBorder="1"/>
    <xf numFmtId="0" fontId="120" fillId="0" borderId="33" xfId="194" applyFont="1" applyBorder="1"/>
    <xf numFmtId="170" fontId="120" fillId="0" borderId="0" xfId="326" applyNumberFormat="1" applyFont="1" applyFill="1"/>
    <xf numFmtId="0" fontId="139" fillId="0" borderId="0" xfId="194" applyFont="1"/>
    <xf numFmtId="0" fontId="120" fillId="0" borderId="36" xfId="194" applyFont="1" applyBorder="1" applyAlignment="1">
      <alignment horizontal="center"/>
    </xf>
    <xf numFmtId="170" fontId="120" fillId="0" borderId="0" xfId="194" applyNumberFormat="1" applyFont="1"/>
    <xf numFmtId="171" fontId="120" fillId="0" borderId="0" xfId="101" applyNumberFormat="1" applyFont="1" applyFill="1" applyBorder="1"/>
    <xf numFmtId="10" fontId="120" fillId="0" borderId="0" xfId="323" applyNumberFormat="1" applyFont="1" applyFill="1" applyBorder="1"/>
    <xf numFmtId="171" fontId="120" fillId="0" borderId="5" xfId="101" applyNumberFormat="1" applyFont="1" applyFill="1" applyBorder="1"/>
    <xf numFmtId="171" fontId="120" fillId="0" borderId="0" xfId="194" applyNumberFormat="1" applyFont="1"/>
    <xf numFmtId="43" fontId="120" fillId="0" borderId="0" xfId="78" applyFont="1" applyFill="1" applyBorder="1"/>
    <xf numFmtId="0" fontId="125" fillId="0" borderId="0" xfId="194" applyFont="1" applyAlignment="1">
      <alignment horizontal="right"/>
    </xf>
    <xf numFmtId="171" fontId="125" fillId="0" borderId="0" xfId="101" applyNumberFormat="1" applyFont="1" applyFill="1" applyBorder="1"/>
    <xf numFmtId="41" fontId="10" fillId="0" borderId="44" xfId="0" applyNumberFormat="1" applyFont="1" applyBorder="1"/>
    <xf numFmtId="41" fontId="10" fillId="0" borderId="7" xfId="0" applyNumberFormat="1" applyFont="1" applyBorder="1"/>
    <xf numFmtId="0" fontId="184" fillId="0" borderId="0" xfId="306" applyFont="1"/>
    <xf numFmtId="4" fontId="0" fillId="0" borderId="0" xfId="0" applyNumberFormat="1" applyAlignment="1">
      <alignment horizontal="right"/>
    </xf>
    <xf numFmtId="43" fontId="10" fillId="0" borderId="0" xfId="78" applyFont="1" applyFill="1"/>
    <xf numFmtId="43" fontId="10" fillId="0" borderId="5" xfId="78" applyFont="1" applyFill="1" applyBorder="1"/>
    <xf numFmtId="43" fontId="20" fillId="0" borderId="0" xfId="78" applyFont="1"/>
    <xf numFmtId="10" fontId="0" fillId="0" borderId="0" xfId="323" applyNumberFormat="1" applyFont="1"/>
    <xf numFmtId="37" fontId="185" fillId="0" borderId="0" xfId="0" applyFont="1" applyAlignment="1">
      <alignment horizontal="left" indent="1"/>
    </xf>
    <xf numFmtId="37" fontId="186" fillId="0" borderId="0" xfId="0" applyFont="1"/>
    <xf numFmtId="43" fontId="10" fillId="0" borderId="39" xfId="194" applyNumberFormat="1" applyFont="1" applyBorder="1"/>
    <xf numFmtId="37" fontId="126" fillId="0" borderId="0" xfId="0" applyFont="1" applyAlignment="1">
      <alignment horizontal="left" indent="1"/>
    </xf>
    <xf numFmtId="43" fontId="120" fillId="0" borderId="0" xfId="78" applyFont="1" applyFill="1"/>
    <xf numFmtId="0" fontId="120" fillId="0" borderId="5" xfId="194" applyFont="1" applyBorder="1"/>
    <xf numFmtId="0" fontId="120" fillId="0" borderId="5" xfId="194" applyFont="1" applyBorder="1" applyAlignment="1">
      <alignment horizontal="center"/>
    </xf>
    <xf numFmtId="43" fontId="139" fillId="0" borderId="0" xfId="78" applyFont="1" applyFill="1"/>
    <xf numFmtId="43" fontId="120" fillId="0" borderId="0" xfId="194" applyNumberFormat="1" applyFont="1" applyAlignment="1">
      <alignment horizontal="center"/>
    </xf>
    <xf numFmtId="43" fontId="10" fillId="0" borderId="0" xfId="78" applyFont="1"/>
    <xf numFmtId="0" fontId="120" fillId="0" borderId="0" xfId="194" applyFont="1" applyAlignment="1">
      <alignment horizontal="left"/>
    </xf>
    <xf numFmtId="43" fontId="120" fillId="0" borderId="5" xfId="78" applyFont="1" applyFill="1" applyBorder="1"/>
    <xf numFmtId="171" fontId="0" fillId="0" borderId="0" xfId="78" applyNumberFormat="1" applyFont="1" applyBorder="1"/>
    <xf numFmtId="185" fontId="120" fillId="0" borderId="0" xfId="194" applyNumberFormat="1" applyFont="1"/>
    <xf numFmtId="37" fontId="187" fillId="0" borderId="0" xfId="0" applyFont="1" applyAlignment="1">
      <alignment horizontal="left" indent="1"/>
    </xf>
    <xf numFmtId="37" fontId="120" fillId="0" borderId="0" xfId="194" applyNumberFormat="1" applyFont="1"/>
    <xf numFmtId="43" fontId="20" fillId="0" borderId="5" xfId="306" applyNumberFormat="1" applyFont="1" applyBorder="1"/>
    <xf numFmtId="0" fontId="16" fillId="0" borderId="0" xfId="0" applyNumberFormat="1" applyFont="1"/>
    <xf numFmtId="37" fontId="16" fillId="0" borderId="0" xfId="0" applyFont="1" applyAlignment="1">
      <alignment horizontal="left"/>
    </xf>
    <xf numFmtId="41" fontId="10" fillId="0" borderId="0" xfId="0" applyNumberFormat="1" applyFont="1" applyAlignment="1">
      <alignment horizontal="center"/>
    </xf>
    <xf numFmtId="186" fontId="16" fillId="0" borderId="0" xfId="215" applyNumberFormat="1" applyFont="1"/>
    <xf numFmtId="49" fontId="10" fillId="0" borderId="0" xfId="0" applyNumberFormat="1" applyFont="1" applyAlignment="1">
      <alignment vertical="top"/>
    </xf>
    <xf numFmtId="0" fontId="16" fillId="0" borderId="0" xfId="306" quotePrefix="1" applyFont="1" applyAlignment="1">
      <alignment horizontal="right"/>
    </xf>
    <xf numFmtId="0" fontId="20" fillId="0" borderId="0" xfId="306" applyFont="1" applyAlignment="1">
      <alignment horizontal="left"/>
    </xf>
    <xf numFmtId="44" fontId="20" fillId="0" borderId="5" xfId="306" applyNumberFormat="1" applyFont="1" applyBorder="1"/>
    <xf numFmtId="43" fontId="10" fillId="0" borderId="5" xfId="78" applyFont="1" applyBorder="1"/>
    <xf numFmtId="10" fontId="11" fillId="0" borderId="0" xfId="0" applyNumberFormat="1" applyFont="1" applyAlignment="1">
      <alignment horizontal="center"/>
    </xf>
    <xf numFmtId="41" fontId="10" fillId="0" borderId="67" xfId="0" applyNumberFormat="1" applyFont="1" applyBorder="1"/>
    <xf numFmtId="2" fontId="127" fillId="0" borderId="0" xfId="318" applyNumberFormat="1" applyFont="1" applyAlignment="1">
      <alignment horizontal="center"/>
    </xf>
    <xf numFmtId="10" fontId="10" fillId="0" borderId="0" xfId="328" applyNumberFormat="1" applyFont="1" applyFill="1"/>
    <xf numFmtId="9" fontId="10" fillId="0" borderId="0" xfId="0" applyNumberFormat="1" applyFont="1"/>
    <xf numFmtId="171" fontId="10" fillId="0" borderId="0" xfId="92" applyNumberFormat="1" applyFont="1" applyFill="1" applyBorder="1" applyAlignment="1">
      <alignment horizontal="center"/>
    </xf>
    <xf numFmtId="41" fontId="139" fillId="0" borderId="0" xfId="0" applyNumberFormat="1" applyFont="1"/>
    <xf numFmtId="37" fontId="9" fillId="0" borderId="0" xfId="0" applyFont="1" applyAlignment="1">
      <alignment wrapText="1"/>
    </xf>
    <xf numFmtId="37" fontId="8" fillId="0" borderId="0" xfId="0" applyFont="1"/>
    <xf numFmtId="10" fontId="0" fillId="0" borderId="0" xfId="323" applyNumberFormat="1" applyFont="1" applyFill="1"/>
    <xf numFmtId="37" fontId="0" fillId="0" borderId="5" xfId="0" applyBorder="1"/>
    <xf numFmtId="2" fontId="120" fillId="0" borderId="0" xfId="194" applyNumberFormat="1" applyFont="1"/>
    <xf numFmtId="0" fontId="120" fillId="0" borderId="5" xfId="194" applyFont="1" applyBorder="1" applyAlignment="1">
      <alignment horizontal="right"/>
    </xf>
    <xf numFmtId="2" fontId="120" fillId="0" borderId="5" xfId="194" applyNumberFormat="1" applyFont="1" applyBorder="1"/>
    <xf numFmtId="37" fontId="188" fillId="0" borderId="0" xfId="0" applyFont="1" applyAlignment="1">
      <alignment horizontal="right"/>
    </xf>
    <xf numFmtId="183" fontId="139" fillId="0" borderId="0" xfId="0" applyNumberFormat="1" applyFont="1"/>
    <xf numFmtId="37" fontId="189" fillId="0" borderId="0" xfId="0" applyFont="1"/>
    <xf numFmtId="37" fontId="190" fillId="0" borderId="0" xfId="0" applyFont="1"/>
    <xf numFmtId="39" fontId="11" fillId="0" borderId="0" xfId="0" applyNumberFormat="1" applyFont="1" applyAlignment="1">
      <alignment horizontal="center"/>
    </xf>
    <xf numFmtId="41" fontId="190" fillId="0" borderId="0" xfId="0" applyNumberFormat="1" applyFont="1"/>
    <xf numFmtId="41" fontId="10" fillId="0" borderId="45" xfId="0" applyNumberFormat="1" applyFont="1" applyBorder="1"/>
    <xf numFmtId="41" fontId="132" fillId="0" borderId="0" xfId="0" applyNumberFormat="1" applyFont="1"/>
    <xf numFmtId="41" fontId="10" fillId="0" borderId="68" xfId="0" applyNumberFormat="1" applyFont="1" applyBorder="1"/>
    <xf numFmtId="41" fontId="10" fillId="0" borderId="69" xfId="0" applyNumberFormat="1" applyFont="1" applyBorder="1"/>
    <xf numFmtId="41" fontId="10" fillId="0" borderId="70" xfId="0" applyNumberFormat="1" applyFont="1" applyBorder="1"/>
    <xf numFmtId="183" fontId="10" fillId="0" borderId="5" xfId="0" applyNumberFormat="1" applyFont="1" applyBorder="1"/>
    <xf numFmtId="39" fontId="10" fillId="0" borderId="5" xfId="0" applyNumberFormat="1" applyFont="1" applyBorder="1"/>
    <xf numFmtId="178" fontId="10" fillId="0" borderId="0" xfId="0" applyNumberFormat="1" applyFont="1"/>
    <xf numFmtId="164" fontId="11" fillId="0" borderId="0" xfId="0" applyNumberFormat="1" applyFont="1"/>
    <xf numFmtId="14" fontId="11" fillId="0" borderId="0" xfId="0" applyNumberFormat="1" applyFont="1" applyAlignment="1">
      <alignment vertical="center"/>
    </xf>
    <xf numFmtId="14" fontId="11" fillId="0" borderId="65" xfId="0" applyNumberFormat="1" applyFont="1" applyBorder="1" applyAlignment="1">
      <alignment vertical="center"/>
    </xf>
    <xf numFmtId="39" fontId="11" fillId="0" borderId="0" xfId="0" applyNumberFormat="1" applyFont="1"/>
    <xf numFmtId="41" fontId="10" fillId="0" borderId="0" xfId="239" applyNumberFormat="1" applyFont="1" applyAlignment="1">
      <alignment horizontal="right"/>
    </xf>
    <xf numFmtId="37" fontId="127" fillId="0" borderId="5" xfId="0" applyFont="1" applyBorder="1" applyAlignment="1">
      <alignment horizontal="center"/>
    </xf>
    <xf numFmtId="49" fontId="183" fillId="0" borderId="0" xfId="0" applyNumberFormat="1" applyFont="1" applyAlignment="1">
      <alignment horizontal="center"/>
    </xf>
    <xf numFmtId="49" fontId="183" fillId="0" borderId="23" xfId="0" applyNumberFormat="1" applyFont="1" applyBorder="1" applyAlignment="1">
      <alignment horizontal="center"/>
    </xf>
    <xf numFmtId="0" fontId="23" fillId="0" borderId="0" xfId="239" applyFont="1"/>
    <xf numFmtId="37" fontId="20" fillId="0" borderId="0" xfId="0" applyFont="1" applyAlignment="1">
      <alignment horizontal="right"/>
    </xf>
    <xf numFmtId="49" fontId="18" fillId="0" borderId="0" xfId="215" applyNumberFormat="1" applyFont="1" applyAlignment="1">
      <alignment horizontal="left"/>
    </xf>
    <xf numFmtId="0" fontId="18" fillId="0" borderId="0" xfId="215" applyFont="1" applyAlignment="1">
      <alignment horizontal="center"/>
    </xf>
    <xf numFmtId="0" fontId="10" fillId="0" borderId="58" xfId="306" applyFont="1" applyBorder="1"/>
    <xf numFmtId="0" fontId="10" fillId="0" borderId="57" xfId="306" applyFont="1" applyBorder="1"/>
    <xf numFmtId="0" fontId="10" fillId="0" borderId="56" xfId="306" applyFont="1" applyBorder="1"/>
    <xf numFmtId="0" fontId="10" fillId="0" borderId="30" xfId="306" applyFont="1" applyBorder="1"/>
    <xf numFmtId="0" fontId="10" fillId="0" borderId="29" xfId="306" applyFont="1" applyBorder="1"/>
    <xf numFmtId="0" fontId="10" fillId="0" borderId="28" xfId="306" applyFont="1" applyBorder="1"/>
    <xf numFmtId="0" fontId="10" fillId="0" borderId="5" xfId="306" applyFont="1" applyBorder="1"/>
    <xf numFmtId="0" fontId="10" fillId="0" borderId="27" xfId="306" applyFont="1" applyBorder="1"/>
    <xf numFmtId="43" fontId="10" fillId="0" borderId="24" xfId="306" applyNumberFormat="1" applyFont="1" applyBorder="1"/>
    <xf numFmtId="37" fontId="132" fillId="0" borderId="0" xfId="0" applyFont="1"/>
    <xf numFmtId="37" fontId="178" fillId="0" borderId="0" xfId="0" applyFont="1" applyAlignment="1">
      <alignment horizontal="center"/>
    </xf>
    <xf numFmtId="37" fontId="191" fillId="0" borderId="0" xfId="0" applyFont="1" applyAlignment="1">
      <alignment horizontal="center"/>
    </xf>
    <xf numFmtId="37" fontId="192" fillId="0" borderId="0" xfId="0" applyFont="1"/>
    <xf numFmtId="41" fontId="193" fillId="0" borderId="0" xfId="0" applyNumberFormat="1" applyFont="1"/>
    <xf numFmtId="9" fontId="192" fillId="0" borderId="0" xfId="323" applyFont="1"/>
    <xf numFmtId="39" fontId="10" fillId="0" borderId="2" xfId="78" applyNumberFormat="1" applyFont="1" applyFill="1" applyBorder="1"/>
    <xf numFmtId="37" fontId="22" fillId="0" borderId="0" xfId="0" applyFont="1"/>
    <xf numFmtId="39" fontId="11" fillId="0" borderId="0" xfId="239" applyNumberFormat="1" applyFont="1"/>
    <xf numFmtId="0" fontId="10" fillId="0" borderId="0" xfId="0" applyNumberFormat="1" applyFont="1" applyAlignment="1">
      <alignment horizontal="center"/>
    </xf>
    <xf numFmtId="0" fontId="28" fillId="0" borderId="0" xfId="0" applyNumberFormat="1" applyFont="1"/>
    <xf numFmtId="37" fontId="22" fillId="0" borderId="23" xfId="0" applyFont="1" applyBorder="1"/>
    <xf numFmtId="0" fontId="11" fillId="0" borderId="23" xfId="0" applyNumberFormat="1" applyFont="1" applyBorder="1" applyAlignment="1">
      <alignment horizontal="center"/>
    </xf>
    <xf numFmtId="39" fontId="11" fillId="0" borderId="23" xfId="0" applyNumberFormat="1" applyFont="1" applyBorder="1" applyAlignment="1">
      <alignment horizontal="center"/>
    </xf>
    <xf numFmtId="2" fontId="10" fillId="0" borderId="0" xfId="0" applyNumberFormat="1" applyFont="1"/>
    <xf numFmtId="41" fontId="10" fillId="0" borderId="63" xfId="0" applyNumberFormat="1" applyFont="1" applyBorder="1"/>
    <xf numFmtId="2" fontId="10" fillId="0" borderId="63" xfId="0" applyNumberFormat="1" applyFont="1" applyBorder="1"/>
    <xf numFmtId="43" fontId="10" fillId="0" borderId="63" xfId="78" applyFont="1" applyFill="1" applyBorder="1"/>
    <xf numFmtId="37" fontId="10" fillId="0" borderId="63" xfId="0" applyFont="1" applyBorder="1"/>
    <xf numFmtId="39" fontId="10" fillId="0" borderId="63" xfId="0" applyNumberFormat="1" applyFont="1" applyBorder="1"/>
    <xf numFmtId="39" fontId="84" fillId="0" borderId="0" xfId="0" applyNumberFormat="1" applyFont="1"/>
    <xf numFmtId="41" fontId="84" fillId="0" borderId="0" xfId="0" applyNumberFormat="1" applyFont="1"/>
    <xf numFmtId="2" fontId="10" fillId="0" borderId="5" xfId="0" applyNumberFormat="1" applyFont="1" applyBorder="1"/>
    <xf numFmtId="2" fontId="10" fillId="0" borderId="23" xfId="0" applyNumberFormat="1" applyFont="1" applyBorder="1"/>
    <xf numFmtId="43" fontId="10" fillId="0" borderId="23" xfId="78" applyFont="1" applyFill="1" applyBorder="1"/>
    <xf numFmtId="37" fontId="10" fillId="0" borderId="23" xfId="0" applyFont="1" applyBorder="1"/>
    <xf numFmtId="39" fontId="10" fillId="0" borderId="23" xfId="0" applyNumberFormat="1" applyFont="1" applyBorder="1"/>
    <xf numFmtId="179" fontId="10" fillId="0" borderId="0" xfId="0" applyNumberFormat="1" applyFont="1"/>
    <xf numFmtId="37" fontId="10" fillId="0" borderId="59" xfId="0" applyFont="1" applyBorder="1"/>
    <xf numFmtId="2" fontId="10" fillId="0" borderId="59" xfId="0" applyNumberFormat="1" applyFont="1" applyBorder="1"/>
    <xf numFmtId="43" fontId="10" fillId="0" borderId="59" xfId="78" applyFont="1" applyFill="1" applyBorder="1"/>
    <xf numFmtId="39" fontId="10" fillId="0" borderId="59" xfId="0" applyNumberFormat="1" applyFont="1" applyBorder="1"/>
    <xf numFmtId="2" fontId="0" fillId="0" borderId="0" xfId="0" applyNumberFormat="1"/>
    <xf numFmtId="43" fontId="0" fillId="0" borderId="0" xfId="78" applyFont="1" applyFill="1"/>
    <xf numFmtId="2" fontId="169" fillId="0" borderId="0" xfId="0" applyNumberFormat="1" applyFont="1"/>
    <xf numFmtId="39" fontId="84" fillId="0" borderId="59" xfId="0" applyNumberFormat="1" applyFont="1" applyBorder="1"/>
    <xf numFmtId="183" fontId="10" fillId="0" borderId="24" xfId="0" applyNumberFormat="1" applyFont="1" applyBorder="1"/>
    <xf numFmtId="2" fontId="10" fillId="0" borderId="24" xfId="0" applyNumberFormat="1" applyFont="1" applyBorder="1"/>
    <xf numFmtId="43" fontId="10" fillId="0" borderId="24" xfId="78" applyFont="1" applyFill="1" applyBorder="1"/>
    <xf numFmtId="37" fontId="10" fillId="0" borderId="24" xfId="0" applyFont="1" applyBorder="1"/>
    <xf numFmtId="37" fontId="134" fillId="0" borderId="0" xfId="0" applyFont="1" applyAlignment="1">
      <alignment vertical="top" wrapText="1"/>
    </xf>
    <xf numFmtId="37" fontId="139" fillId="0" borderId="0" xfId="0" applyFont="1" applyAlignment="1">
      <alignment horizontal="right"/>
    </xf>
    <xf numFmtId="43" fontId="139" fillId="0" borderId="0" xfId="0" applyNumberFormat="1" applyFont="1"/>
    <xf numFmtId="37" fontId="182" fillId="0" borderId="0" xfId="0" applyFont="1" applyAlignment="1">
      <alignment vertical="top"/>
    </xf>
    <xf numFmtId="0" fontId="139" fillId="0" borderId="0" xfId="0" applyNumberFormat="1" applyFont="1"/>
    <xf numFmtId="184" fontId="139" fillId="0" borderId="0" xfId="0" applyNumberFormat="1" applyFont="1"/>
    <xf numFmtId="37" fontId="182" fillId="0" borderId="0" xfId="0" applyFont="1" applyAlignment="1">
      <alignment vertical="top" wrapText="1"/>
    </xf>
    <xf numFmtId="37" fontId="134" fillId="0" borderId="0" xfId="0" applyFont="1" applyAlignment="1">
      <alignment vertical="top"/>
    </xf>
    <xf numFmtId="0" fontId="135" fillId="0" borderId="0" xfId="0" applyNumberFormat="1" applyFont="1" applyAlignment="1">
      <alignment vertical="top"/>
    </xf>
    <xf numFmtId="0" fontId="10" fillId="0" borderId="0" xfId="0" applyNumberFormat="1" applyFont="1" applyAlignment="1">
      <alignment vertical="top" wrapText="1"/>
    </xf>
    <xf numFmtId="43" fontId="16" fillId="0" borderId="0" xfId="92" applyFont="1" applyFill="1"/>
    <xf numFmtId="43" fontId="16" fillId="0" borderId="5" xfId="92" applyFont="1" applyFill="1" applyBorder="1"/>
    <xf numFmtId="186" fontId="15" fillId="0" borderId="0" xfId="215" applyNumberFormat="1" applyFont="1"/>
    <xf numFmtId="171" fontId="19" fillId="0" borderId="0" xfId="92" applyNumberFormat="1" applyFont="1"/>
    <xf numFmtId="171" fontId="20" fillId="0" borderId="0" xfId="92" applyNumberFormat="1" applyFont="1"/>
    <xf numFmtId="41" fontId="20" fillId="0" borderId="67" xfId="0" applyNumberFormat="1" applyFont="1" applyBorder="1"/>
    <xf numFmtId="41" fontId="20" fillId="0" borderId="71" xfId="0" applyNumberFormat="1" applyFont="1" applyBorder="1"/>
    <xf numFmtId="41" fontId="20" fillId="0" borderId="57" xfId="0" applyNumberFormat="1" applyFont="1" applyBorder="1"/>
    <xf numFmtId="2" fontId="10" fillId="0" borderId="0" xfId="92" applyNumberFormat="1" applyFont="1" applyFill="1" applyAlignment="1">
      <alignment horizontal="center"/>
    </xf>
    <xf numFmtId="39" fontId="10" fillId="0" borderId="0" xfId="0" applyNumberFormat="1" applyFont="1" applyAlignment="1">
      <alignment horizontal="center" vertical="center"/>
    </xf>
    <xf numFmtId="37" fontId="195" fillId="0" borderId="0" xfId="435" applyNumberFormat="1" applyFont="1" applyFill="1" applyAlignment="1">
      <alignment horizontal="left" indent="1"/>
    </xf>
    <xf numFmtId="37" fontId="4" fillId="0" borderId="0" xfId="435" applyNumberFormat="1" applyFont="1" applyFill="1" applyAlignment="1">
      <alignment horizontal="left" indent="1"/>
    </xf>
    <xf numFmtId="0" fontId="22" fillId="0" borderId="0" xfId="0" applyNumberFormat="1" applyFont="1"/>
    <xf numFmtId="0" fontId="76" fillId="39" borderId="0" xfId="281" applyFont="1" applyFill="1"/>
    <xf numFmtId="17" fontId="76" fillId="39" borderId="0" xfId="225" applyNumberFormat="1" applyFont="1" applyFill="1" applyAlignment="1">
      <alignment horizontal="left"/>
    </xf>
    <xf numFmtId="167" fontId="76" fillId="39" borderId="0" xfId="225" applyNumberFormat="1" applyFont="1" applyFill="1"/>
    <xf numFmtId="43" fontId="76" fillId="39" borderId="0" xfId="281" applyNumberFormat="1" applyFont="1" applyFill="1"/>
    <xf numFmtId="0" fontId="76" fillId="0" borderId="0" xfId="225" applyFont="1"/>
    <xf numFmtId="17" fontId="76" fillId="0" borderId="0" xfId="225" applyNumberFormat="1" applyFont="1" applyAlignment="1">
      <alignment horizontal="left"/>
    </xf>
    <xf numFmtId="43" fontId="77" fillId="0" borderId="0" xfId="78" applyFont="1" applyFill="1" applyBorder="1"/>
    <xf numFmtId="43" fontId="76" fillId="0" borderId="0" xfId="281" applyNumberFormat="1" applyFont="1"/>
    <xf numFmtId="0" fontId="132" fillId="0" borderId="0" xfId="281" applyFont="1"/>
    <xf numFmtId="0" fontId="79" fillId="0" borderId="0" xfId="225" applyFont="1" applyAlignment="1">
      <alignment horizontal="center"/>
    </xf>
    <xf numFmtId="43" fontId="78" fillId="0" borderId="0" xfId="281" applyNumberFormat="1" applyFont="1"/>
    <xf numFmtId="0" fontId="78" fillId="0" borderId="0" xfId="225" applyFont="1" applyAlignment="1">
      <alignment horizontal="center"/>
    </xf>
    <xf numFmtId="43" fontId="79" fillId="0" borderId="0" xfId="225" applyNumberFormat="1" applyFont="1" applyAlignment="1">
      <alignment horizontal="center"/>
    </xf>
    <xf numFmtId="0" fontId="80" fillId="0" borderId="0" xfId="225" applyFont="1" applyAlignment="1">
      <alignment horizontal="center"/>
    </xf>
    <xf numFmtId="43" fontId="80" fillId="0" borderId="0" xfId="225" applyNumberFormat="1" applyFont="1" applyAlignment="1">
      <alignment horizontal="center"/>
    </xf>
    <xf numFmtId="0" fontId="81" fillId="0" borderId="0" xfId="225" applyFont="1" applyAlignment="1">
      <alignment horizontal="center"/>
    </xf>
    <xf numFmtId="0" fontId="135" fillId="0" borderId="0" xfId="281" applyFont="1"/>
    <xf numFmtId="0" fontId="132" fillId="0" borderId="0" xfId="281" applyFont="1" applyAlignment="1">
      <alignment horizontal="center"/>
    </xf>
    <xf numFmtId="167" fontId="132" fillId="0" borderId="0" xfId="225" applyNumberFormat="1" applyFont="1"/>
    <xf numFmtId="41" fontId="132" fillId="0" borderId="0" xfId="281" applyNumberFormat="1" applyFont="1"/>
    <xf numFmtId="167" fontId="76" fillId="0" borderId="0" xfId="225" applyNumberFormat="1" applyFont="1"/>
    <xf numFmtId="172" fontId="82" fillId="0" borderId="0" xfId="281" applyNumberFormat="1" applyFont="1"/>
    <xf numFmtId="0" fontId="139" fillId="0" borderId="0" xfId="281" applyFont="1"/>
    <xf numFmtId="43" fontId="139" fillId="0" borderId="0" xfId="281" applyNumberFormat="1" applyFont="1"/>
    <xf numFmtId="43" fontId="178" fillId="0" borderId="0" xfId="281" applyNumberFormat="1" applyFont="1"/>
    <xf numFmtId="0" fontId="178" fillId="0" borderId="0" xfId="281" applyFont="1"/>
    <xf numFmtId="0" fontId="76" fillId="0" borderId="0" xfId="225" applyFont="1" applyAlignment="1">
      <alignment horizontal="right"/>
    </xf>
    <xf numFmtId="0" fontId="76" fillId="0" borderId="38" xfId="281" applyFont="1" applyBorder="1"/>
    <xf numFmtId="0" fontId="76" fillId="0" borderId="36" xfId="281" applyFont="1" applyBorder="1"/>
    <xf numFmtId="43" fontId="77" fillId="0" borderId="36" xfId="78" applyFont="1" applyFill="1" applyBorder="1" applyAlignment="1">
      <alignment horizontal="center"/>
    </xf>
    <xf numFmtId="43" fontId="77" fillId="0" borderId="36" xfId="281" applyNumberFormat="1" applyFont="1" applyBorder="1" applyAlignment="1">
      <alignment horizontal="center"/>
    </xf>
    <xf numFmtId="0" fontId="76" fillId="0" borderId="37" xfId="281" applyFont="1" applyBorder="1"/>
    <xf numFmtId="0" fontId="76" fillId="0" borderId="22" xfId="281" applyFont="1" applyBorder="1"/>
    <xf numFmtId="172" fontId="10" fillId="0" borderId="0" xfId="281" applyNumberFormat="1" applyFont="1"/>
    <xf numFmtId="0" fontId="11" fillId="0" borderId="31" xfId="281" applyFont="1" applyBorder="1"/>
    <xf numFmtId="0" fontId="135" fillId="0" borderId="0" xfId="225" applyFont="1"/>
    <xf numFmtId="0" fontId="76" fillId="0" borderId="31" xfId="281" applyFont="1" applyBorder="1"/>
    <xf numFmtId="0" fontId="83" fillId="0" borderId="17" xfId="281" applyFont="1" applyBorder="1"/>
    <xf numFmtId="0" fontId="76" fillId="0" borderId="33" xfId="281" applyFont="1" applyBorder="1"/>
    <xf numFmtId="0" fontId="76" fillId="0" borderId="22" xfId="225" applyFont="1" applyBorder="1"/>
    <xf numFmtId="0" fontId="77" fillId="0" borderId="32" xfId="225" applyFont="1" applyBorder="1"/>
    <xf numFmtId="43" fontId="76" fillId="0" borderId="5" xfId="225" applyNumberFormat="1" applyFont="1" applyBorder="1"/>
    <xf numFmtId="43" fontId="76" fillId="0" borderId="0" xfId="78" applyFont="1" applyFill="1"/>
    <xf numFmtId="43" fontId="76" fillId="0" borderId="0" xfId="78" applyFont="1" applyFill="1" applyAlignment="1">
      <alignment horizontal="right"/>
    </xf>
    <xf numFmtId="43" fontId="76" fillId="0" borderId="0" xfId="78" applyFont="1" applyFill="1" applyBorder="1" applyAlignment="1">
      <alignment horizontal="right"/>
    </xf>
    <xf numFmtId="43" fontId="77" fillId="0" borderId="39" xfId="78" applyFont="1" applyFill="1" applyBorder="1"/>
    <xf numFmtId="43" fontId="120" fillId="0" borderId="0" xfId="428" applyFont="1" applyFill="1" applyBorder="1"/>
    <xf numFmtId="43" fontId="120" fillId="0" borderId="0" xfId="430" applyFont="1" applyFill="1"/>
    <xf numFmtId="43" fontId="120" fillId="0" borderId="5" xfId="430" applyFont="1" applyFill="1" applyBorder="1"/>
    <xf numFmtId="43" fontId="77" fillId="0" borderId="39" xfId="281" applyNumberFormat="1" applyFont="1" applyBorder="1"/>
    <xf numFmtId="43" fontId="76" fillId="0" borderId="0" xfId="78" applyFont="1" applyFill="1" applyBorder="1"/>
    <xf numFmtId="43" fontId="76" fillId="0" borderId="0" xfId="225" applyNumberFormat="1" applyFont="1"/>
    <xf numFmtId="43" fontId="77" fillId="0" borderId="66" xfId="78" applyFont="1" applyFill="1" applyBorder="1"/>
    <xf numFmtId="43" fontId="77" fillId="0" borderId="66" xfId="281" applyNumberFormat="1" applyFont="1" applyBorder="1"/>
    <xf numFmtId="0" fontId="18" fillId="0" borderId="31" xfId="281" applyFont="1" applyBorder="1"/>
    <xf numFmtId="43" fontId="76" fillId="0" borderId="26" xfId="78" applyFont="1" applyFill="1" applyBorder="1"/>
    <xf numFmtId="44" fontId="76" fillId="0" borderId="72" xfId="433" applyFont="1" applyFill="1" applyBorder="1"/>
    <xf numFmtId="0" fontId="76" fillId="0" borderId="0" xfId="281" applyFont="1" applyAlignment="1">
      <alignment horizontal="center"/>
    </xf>
    <xf numFmtId="43" fontId="76" fillId="0" borderId="5" xfId="78" applyFont="1" applyFill="1" applyBorder="1"/>
    <xf numFmtId="10" fontId="10" fillId="0" borderId="0" xfId="323" applyNumberFormat="1" applyFont="1"/>
    <xf numFmtId="43" fontId="10" fillId="0" borderId="0" xfId="78" applyFont="1" applyAlignment="1">
      <alignment horizontal="right"/>
    </xf>
    <xf numFmtId="164" fontId="10" fillId="0" borderId="0" xfId="323" applyNumberFormat="1" applyFont="1"/>
    <xf numFmtId="165" fontId="10" fillId="0" borderId="0" xfId="323" applyNumberFormat="1" applyFont="1"/>
    <xf numFmtId="0" fontId="120" fillId="0" borderId="2" xfId="194" applyFont="1" applyBorder="1" applyAlignment="1">
      <alignment horizontal="center"/>
    </xf>
    <xf numFmtId="43" fontId="120" fillId="0" borderId="5" xfId="194" applyNumberFormat="1" applyFont="1" applyBorder="1"/>
    <xf numFmtId="41" fontId="10" fillId="0" borderId="43" xfId="239" applyNumberFormat="1" applyFont="1" applyBorder="1"/>
    <xf numFmtId="41" fontId="10" fillId="0" borderId="48" xfId="239" applyNumberFormat="1" applyFont="1" applyBorder="1"/>
    <xf numFmtId="9" fontId="172" fillId="0" borderId="0" xfId="323" applyFont="1"/>
    <xf numFmtId="10" fontId="172" fillId="0" borderId="0" xfId="323" applyNumberFormat="1" applyFont="1"/>
    <xf numFmtId="43" fontId="139" fillId="39" borderId="0" xfId="78" applyFont="1" applyFill="1"/>
    <xf numFmtId="43" fontId="76" fillId="0" borderId="5" xfId="281" applyNumberFormat="1" applyFont="1" applyBorder="1"/>
    <xf numFmtId="43" fontId="10" fillId="0" borderId="0" xfId="428" applyFont="1" applyFill="1" applyBorder="1"/>
    <xf numFmtId="0" fontId="10" fillId="0" borderId="0" xfId="281" applyFont="1"/>
    <xf numFmtId="43" fontId="10" fillId="0" borderId="0" xfId="281" applyNumberFormat="1" applyFont="1"/>
    <xf numFmtId="43" fontId="196" fillId="0" borderId="0" xfId="78" applyFont="1" applyFill="1"/>
    <xf numFmtId="0" fontId="197" fillId="0" borderId="0" xfId="281" applyFont="1" applyAlignment="1">
      <alignment horizontal="center"/>
    </xf>
    <xf numFmtId="0" fontId="160" fillId="0" borderId="0" xfId="281" applyFont="1" applyAlignment="1">
      <alignment horizontal="center"/>
    </xf>
    <xf numFmtId="0" fontId="132" fillId="39" borderId="0" xfId="281" applyFont="1" applyFill="1"/>
    <xf numFmtId="43" fontId="76" fillId="39" borderId="5" xfId="281" applyNumberFormat="1" applyFont="1" applyFill="1" applyBorder="1"/>
    <xf numFmtId="43" fontId="76" fillId="39" borderId="5" xfId="78" applyFont="1" applyFill="1" applyBorder="1"/>
    <xf numFmtId="43" fontId="76" fillId="0" borderId="0" xfId="78" applyFont="1"/>
    <xf numFmtId="43" fontId="76" fillId="0" borderId="5" xfId="78" applyFont="1" applyBorder="1"/>
    <xf numFmtId="43" fontId="178" fillId="39" borderId="0" xfId="78" applyFont="1" applyFill="1" applyBorder="1"/>
    <xf numFmtId="43" fontId="178" fillId="39" borderId="0" xfId="281" applyNumberFormat="1" applyFont="1" applyFill="1"/>
    <xf numFmtId="41" fontId="126" fillId="0" borderId="67" xfId="0" applyNumberFormat="1" applyFont="1" applyBorder="1"/>
    <xf numFmtId="0" fontId="0" fillId="0" borderId="0" xfId="0" applyNumberFormat="1"/>
    <xf numFmtId="43" fontId="0" fillId="0" borderId="0" xfId="78" applyFont="1"/>
    <xf numFmtId="49" fontId="0" fillId="0" borderId="0" xfId="0" applyNumberFormat="1" applyAlignment="1">
      <alignment horizontal="center"/>
    </xf>
    <xf numFmtId="49" fontId="171" fillId="0" borderId="73" xfId="0" applyNumberFormat="1" applyFont="1" applyBorder="1" applyAlignment="1">
      <alignment horizontal="center"/>
    </xf>
    <xf numFmtId="37" fontId="0" fillId="0" borderId="0" xfId="0" applyAlignment="1">
      <alignment horizontal="center"/>
    </xf>
    <xf numFmtId="187" fontId="171" fillId="0" borderId="0" xfId="0" applyNumberFormat="1" applyFont="1"/>
    <xf numFmtId="182" fontId="171" fillId="0" borderId="0" xfId="0" applyNumberFormat="1" applyFont="1"/>
    <xf numFmtId="49" fontId="168" fillId="0" borderId="0" xfId="0" applyNumberFormat="1" applyFont="1"/>
    <xf numFmtId="187" fontId="168" fillId="0" borderId="0" xfId="0" applyNumberFormat="1" applyFont="1"/>
    <xf numFmtId="182" fontId="0" fillId="0" borderId="0" xfId="0" applyNumberFormat="1"/>
    <xf numFmtId="37" fontId="171" fillId="0" borderId="0" xfId="0" applyFont="1"/>
    <xf numFmtId="49" fontId="195" fillId="0" borderId="0" xfId="0" applyNumberFormat="1" applyFont="1" applyAlignment="1">
      <alignment horizontal="left"/>
    </xf>
    <xf numFmtId="4" fontId="195" fillId="0" borderId="0" xfId="0" applyNumberFormat="1" applyFont="1" applyAlignment="1">
      <alignment horizontal="right"/>
    </xf>
    <xf numFmtId="49" fontId="195" fillId="0" borderId="0" xfId="436" applyNumberFormat="1" applyFont="1" applyAlignment="1">
      <alignment horizontal="left"/>
    </xf>
    <xf numFmtId="49" fontId="3" fillId="39" borderId="0" xfId="437" applyNumberFormat="1" applyFill="1" applyAlignment="1">
      <alignment horizontal="left"/>
    </xf>
    <xf numFmtId="4" fontId="3" fillId="39" borderId="0" xfId="438" applyNumberFormat="1" applyFill="1" applyAlignment="1">
      <alignment horizontal="right"/>
    </xf>
    <xf numFmtId="4" fontId="195" fillId="0" borderId="5" xfId="0" applyNumberFormat="1" applyFont="1" applyBorder="1" applyAlignment="1">
      <alignment horizontal="right"/>
    </xf>
    <xf numFmtId="0" fontId="10" fillId="42" borderId="0" xfId="306" applyFont="1" applyFill="1" applyAlignment="1">
      <alignment vertical="center" wrapText="1"/>
    </xf>
    <xf numFmtId="49" fontId="3" fillId="39" borderId="0" xfId="439" applyNumberFormat="1" applyFill="1" applyAlignment="1">
      <alignment horizontal="left"/>
    </xf>
    <xf numFmtId="4" fontId="3" fillId="39" borderId="0" xfId="440" applyNumberFormat="1" applyFill="1" applyAlignment="1">
      <alignment horizontal="right"/>
    </xf>
    <xf numFmtId="49" fontId="195" fillId="0" borderId="0" xfId="439" applyNumberFormat="1" applyFont="1" applyAlignment="1">
      <alignment horizontal="left"/>
    </xf>
    <xf numFmtId="4" fontId="195" fillId="0" borderId="0" xfId="440" applyNumberFormat="1" applyFont="1" applyAlignment="1">
      <alignment horizontal="right"/>
    </xf>
    <xf numFmtId="49" fontId="3" fillId="39" borderId="0" xfId="441" applyNumberFormat="1" applyFill="1" applyAlignment="1">
      <alignment horizontal="left"/>
    </xf>
    <xf numFmtId="4" fontId="3" fillId="39" borderId="0" xfId="442" applyNumberFormat="1" applyFill="1" applyAlignment="1">
      <alignment horizontal="right"/>
    </xf>
    <xf numFmtId="49" fontId="3" fillId="39" borderId="0" xfId="443" applyNumberFormat="1" applyFill="1" applyAlignment="1">
      <alignment horizontal="left"/>
    </xf>
    <xf numFmtId="4" fontId="3" fillId="39" borderId="0" xfId="444" applyNumberFormat="1" applyFill="1" applyAlignment="1">
      <alignment horizontal="right"/>
    </xf>
    <xf numFmtId="49" fontId="2" fillId="0" borderId="0" xfId="445" applyNumberFormat="1" applyAlignment="1">
      <alignment horizontal="left"/>
    </xf>
    <xf numFmtId="49" fontId="2" fillId="39" borderId="0" xfId="445" applyNumberFormat="1" applyFill="1" applyAlignment="1">
      <alignment horizontal="left"/>
    </xf>
    <xf numFmtId="4" fontId="2" fillId="0" borderId="0" xfId="446" applyNumberFormat="1" applyAlignment="1">
      <alignment horizontal="right"/>
    </xf>
    <xf numFmtId="4" fontId="2" fillId="39" borderId="0" xfId="446" applyNumberFormat="1" applyFill="1" applyAlignment="1">
      <alignment horizontal="right"/>
    </xf>
    <xf numFmtId="49" fontId="195" fillId="0" borderId="0" xfId="443" applyNumberFormat="1" applyFont="1" applyAlignment="1">
      <alignment horizontal="left"/>
    </xf>
    <xf numFmtId="49" fontId="195" fillId="0" borderId="0" xfId="447" applyNumberFormat="1" applyFont="1" applyAlignment="1">
      <alignment horizontal="left"/>
    </xf>
    <xf numFmtId="4" fontId="198" fillId="0" borderId="0" xfId="448" applyNumberFormat="1" applyFont="1" applyAlignment="1">
      <alignment horizontal="right"/>
    </xf>
    <xf numFmtId="49" fontId="2" fillId="39" borderId="0" xfId="449" applyNumberFormat="1" applyFill="1" applyAlignment="1">
      <alignment horizontal="left"/>
    </xf>
    <xf numFmtId="4" fontId="2" fillId="39" borderId="0" xfId="450" applyNumberFormat="1" applyFill="1" applyAlignment="1">
      <alignment horizontal="right"/>
    </xf>
    <xf numFmtId="37" fontId="15" fillId="0" borderId="0" xfId="0" applyFont="1"/>
    <xf numFmtId="37" fontId="195" fillId="0" borderId="0" xfId="0" applyFont="1"/>
    <xf numFmtId="49" fontId="2" fillId="0" borderId="0" xfId="451" applyNumberFormat="1" applyAlignment="1">
      <alignment horizontal="left"/>
    </xf>
    <xf numFmtId="49" fontId="2" fillId="39" borderId="0" xfId="451" applyNumberFormat="1" applyFill="1" applyAlignment="1">
      <alignment horizontal="left"/>
    </xf>
    <xf numFmtId="4" fontId="2" fillId="0" borderId="0" xfId="452" applyNumberFormat="1" applyAlignment="1">
      <alignment horizontal="right"/>
    </xf>
    <xf numFmtId="4" fontId="2" fillId="39" borderId="0" xfId="452" applyNumberFormat="1" applyFill="1" applyAlignment="1">
      <alignment horizontal="right"/>
    </xf>
    <xf numFmtId="49" fontId="195" fillId="0" borderId="0" xfId="451" applyNumberFormat="1" applyFont="1" applyAlignment="1">
      <alignment horizontal="left"/>
    </xf>
    <xf numFmtId="4" fontId="195" fillId="0" borderId="0" xfId="452" applyNumberFormat="1" applyFont="1" applyAlignment="1">
      <alignment horizontal="right"/>
    </xf>
    <xf numFmtId="188" fontId="10" fillId="0" borderId="0" xfId="0" applyNumberFormat="1" applyFont="1" applyAlignment="1">
      <alignment horizontal="center"/>
    </xf>
    <xf numFmtId="0" fontId="10" fillId="0" borderId="0" xfId="306" applyFont="1" applyAlignment="1">
      <alignment vertical="center" wrapText="1"/>
    </xf>
    <xf numFmtId="0" fontId="10" fillId="39" borderId="0" xfId="306" applyFont="1" applyFill="1" applyAlignment="1">
      <alignment horizontal="center"/>
    </xf>
    <xf numFmtId="49" fontId="199" fillId="0" borderId="0" xfId="0" applyNumberFormat="1" applyFont="1"/>
    <xf numFmtId="9" fontId="199" fillId="0" borderId="0" xfId="0" applyNumberFormat="1" applyFont="1"/>
    <xf numFmtId="9" fontId="199" fillId="0" borderId="0" xfId="323" applyFont="1"/>
    <xf numFmtId="9" fontId="129" fillId="0" borderId="0" xfId="323" applyFont="1" applyFill="1"/>
    <xf numFmtId="37" fontId="199" fillId="0" borderId="0" xfId="0" applyFont="1"/>
    <xf numFmtId="9" fontId="129" fillId="0" borderId="0" xfId="323" applyFont="1"/>
    <xf numFmtId="9" fontId="129" fillId="0" borderId="0" xfId="323" applyFont="1" applyFill="1" applyBorder="1"/>
    <xf numFmtId="49" fontId="129" fillId="0" borderId="0" xfId="0" applyNumberFormat="1" applyFont="1"/>
    <xf numFmtId="10" fontId="129" fillId="0" borderId="0" xfId="323" applyNumberFormat="1" applyFont="1" applyFill="1"/>
    <xf numFmtId="10" fontId="129" fillId="0" borderId="0" xfId="323" applyNumberFormat="1" applyFont="1"/>
    <xf numFmtId="10" fontId="129" fillId="0" borderId="5" xfId="323" applyNumberFormat="1" applyFont="1" applyBorder="1"/>
    <xf numFmtId="49" fontId="195" fillId="44" borderId="0" xfId="451" applyNumberFormat="1" applyFont="1" applyFill="1" applyAlignment="1">
      <alignment horizontal="left"/>
    </xf>
    <xf numFmtId="4" fontId="195" fillId="44" borderId="0" xfId="0" applyNumberFormat="1" applyFont="1" applyFill="1" applyAlignment="1">
      <alignment horizontal="right"/>
    </xf>
    <xf numFmtId="4" fontId="195" fillId="0" borderId="0" xfId="444" applyNumberFormat="1" applyFont="1" applyAlignment="1">
      <alignment horizontal="right"/>
    </xf>
    <xf numFmtId="4" fontId="195" fillId="44" borderId="0" xfId="444" applyNumberFormat="1" applyFont="1" applyFill="1" applyAlignment="1">
      <alignment horizontal="right"/>
    </xf>
    <xf numFmtId="49" fontId="195" fillId="44" borderId="0" xfId="443" applyNumberFormat="1" applyFont="1" applyFill="1" applyAlignment="1">
      <alignment horizontal="left"/>
    </xf>
    <xf numFmtId="4" fontId="195" fillId="0" borderId="0" xfId="448" applyNumberFormat="1" applyFont="1" applyAlignment="1">
      <alignment horizontal="right"/>
    </xf>
    <xf numFmtId="0" fontId="10" fillId="44" borderId="0" xfId="306" applyFont="1" applyFill="1"/>
    <xf numFmtId="49" fontId="195" fillId="44" borderId="0" xfId="447" applyNumberFormat="1" applyFont="1" applyFill="1" applyAlignment="1">
      <alignment horizontal="left"/>
    </xf>
    <xf numFmtId="4" fontId="195" fillId="44" borderId="0" xfId="448" applyNumberFormat="1" applyFont="1" applyFill="1" applyAlignment="1">
      <alignment horizontal="right"/>
    </xf>
    <xf numFmtId="4" fontId="1" fillId="44" borderId="0" xfId="452" applyNumberFormat="1" applyFont="1" applyFill="1" applyAlignment="1">
      <alignment horizontal="right"/>
    </xf>
    <xf numFmtId="37" fontId="0" fillId="0" borderId="0" xfId="0" applyAlignment="1">
      <alignment horizontal="right"/>
    </xf>
    <xf numFmtId="10" fontId="136" fillId="0" borderId="0" xfId="323" applyNumberFormat="1" applyFont="1"/>
    <xf numFmtId="9" fontId="136" fillId="0" borderId="0" xfId="323" applyFont="1" applyFill="1"/>
    <xf numFmtId="9" fontId="0" fillId="0" borderId="0" xfId="323" applyFont="1" applyFill="1"/>
    <xf numFmtId="9" fontId="0" fillId="0" borderId="5" xfId="323" applyFont="1" applyFill="1" applyBorder="1"/>
    <xf numFmtId="37" fontId="9" fillId="0" borderId="0" xfId="0" applyFont="1" applyAlignment="1">
      <alignment horizontal="right" indent="1"/>
    </xf>
    <xf numFmtId="43" fontId="0" fillId="0" borderId="5" xfId="78" applyFont="1" applyFill="1" applyBorder="1"/>
    <xf numFmtId="37" fontId="9" fillId="0" borderId="0" xfId="0" applyFont="1" applyAlignment="1">
      <alignment horizontal="right"/>
    </xf>
    <xf numFmtId="9" fontId="10" fillId="0" borderId="0" xfId="323" applyFont="1"/>
    <xf numFmtId="14" fontId="11" fillId="0" borderId="45" xfId="0" applyNumberFormat="1" applyFont="1" applyBorder="1" applyAlignment="1">
      <alignment horizontal="center"/>
    </xf>
    <xf numFmtId="14" fontId="202" fillId="0" borderId="0" xfId="0" applyNumberFormat="1" applyFont="1" applyAlignment="1">
      <alignment vertical="center"/>
    </xf>
    <xf numFmtId="43" fontId="11" fillId="0" borderId="0" xfId="78" applyFont="1" applyAlignment="1">
      <alignment vertical="center"/>
    </xf>
    <xf numFmtId="0" fontId="10" fillId="0" borderId="0" xfId="318" applyFont="1" applyAlignment="1">
      <alignment horizontal="justify" vertical="top"/>
    </xf>
    <xf numFmtId="43" fontId="10" fillId="0" borderId="25" xfId="0" applyNumberFormat="1" applyFont="1" applyBorder="1"/>
    <xf numFmtId="171" fontId="10" fillId="0" borderId="0" xfId="78" applyNumberFormat="1" applyFont="1"/>
    <xf numFmtId="183" fontId="10" fillId="0" borderId="25" xfId="0" applyNumberFormat="1" applyFont="1" applyBorder="1"/>
    <xf numFmtId="41" fontId="120" fillId="0" borderId="0" xfId="0" applyNumberFormat="1" applyFont="1"/>
    <xf numFmtId="37" fontId="120" fillId="0" borderId="0" xfId="318" applyNumberFormat="1" applyFont="1"/>
    <xf numFmtId="9" fontId="120" fillId="0" borderId="0" xfId="318" applyNumberFormat="1" applyFont="1"/>
    <xf numFmtId="43" fontId="0" fillId="0" borderId="0" xfId="78" applyFont="1" applyAlignment="1">
      <alignment wrapText="1"/>
    </xf>
    <xf numFmtId="43" fontId="13" fillId="0" borderId="5" xfId="78" applyFont="1" applyBorder="1"/>
    <xf numFmtId="43" fontId="13" fillId="0" borderId="0" xfId="78" applyFont="1"/>
    <xf numFmtId="41" fontId="10" fillId="0" borderId="75" xfId="0" applyNumberFormat="1" applyFont="1" applyBorder="1"/>
    <xf numFmtId="41" fontId="10" fillId="0" borderId="74" xfId="0" applyNumberFormat="1" applyFont="1" applyBorder="1"/>
    <xf numFmtId="37" fontId="21" fillId="0" borderId="45" xfId="0" applyFont="1" applyBorder="1" applyAlignment="1">
      <alignment horizontal="center"/>
    </xf>
    <xf numFmtId="37" fontId="181" fillId="0" borderId="0" xfId="0" applyFont="1" applyAlignment="1">
      <alignment horizontal="center"/>
    </xf>
    <xf numFmtId="9" fontId="10" fillId="0" borderId="0" xfId="323" applyFont="1" applyBorder="1"/>
    <xf numFmtId="171" fontId="9" fillId="0" borderId="0" xfId="78" applyNumberFormat="1" applyFont="1" applyFill="1"/>
    <xf numFmtId="43" fontId="10" fillId="0" borderId="5" xfId="318" applyNumberFormat="1" applyFont="1" applyBorder="1"/>
    <xf numFmtId="14" fontId="0" fillId="0" borderId="0" xfId="0" applyNumberFormat="1"/>
    <xf numFmtId="179" fontId="0" fillId="0" borderId="0" xfId="0" applyNumberFormat="1"/>
    <xf numFmtId="10" fontId="0" fillId="0" borderId="5" xfId="323" applyNumberFormat="1" applyFont="1" applyBorder="1"/>
    <xf numFmtId="164" fontId="0" fillId="0" borderId="0" xfId="323" applyNumberFormat="1" applyFont="1" applyFill="1"/>
    <xf numFmtId="37" fontId="86" fillId="0" borderId="0" xfId="0" applyFont="1" applyAlignment="1">
      <alignment horizontal="center"/>
    </xf>
    <xf numFmtId="41" fontId="84" fillId="0" borderId="5" xfId="0" applyNumberFormat="1" applyFont="1" applyBorder="1"/>
    <xf numFmtId="9" fontId="10" fillId="0" borderId="0" xfId="323" applyFont="1" applyFill="1"/>
    <xf numFmtId="37" fontId="9" fillId="0" borderId="0" xfId="0" applyFont="1" applyAlignment="1">
      <alignment horizontal="left"/>
    </xf>
    <xf numFmtId="37" fontId="201" fillId="0" borderId="0" xfId="0" applyFont="1" applyAlignment="1">
      <alignment horizontal="center"/>
    </xf>
    <xf numFmtId="37" fontId="200" fillId="0" borderId="0" xfId="0" applyFont="1"/>
    <xf numFmtId="37" fontId="182" fillId="0" borderId="0" xfId="0" applyFont="1"/>
    <xf numFmtId="9" fontId="9" fillId="0" borderId="0" xfId="323" applyFont="1" applyFill="1"/>
    <xf numFmtId="39" fontId="9" fillId="0" borderId="0" xfId="0" applyNumberFormat="1" applyFont="1"/>
    <xf numFmtId="43" fontId="126" fillId="0" borderId="36" xfId="78" applyFont="1" applyFill="1" applyBorder="1"/>
    <xf numFmtId="43" fontId="126" fillId="0" borderId="5" xfId="78" applyFont="1" applyFill="1" applyBorder="1"/>
    <xf numFmtId="43" fontId="126" fillId="0" borderId="0" xfId="78" applyFont="1" applyFill="1"/>
    <xf numFmtId="171" fontId="125" fillId="0" borderId="39" xfId="101" applyNumberFormat="1" applyFont="1" applyFill="1" applyBorder="1"/>
    <xf numFmtId="43" fontId="125" fillId="0" borderId="39" xfId="78" applyFont="1" applyFill="1" applyBorder="1"/>
    <xf numFmtId="37" fontId="23" fillId="0" borderId="0" xfId="0" applyFont="1" applyAlignment="1">
      <alignment horizontal="center"/>
    </xf>
    <xf numFmtId="49" fontId="11" fillId="0" borderId="0" xfId="0" applyNumberFormat="1" applyFont="1" applyAlignment="1">
      <alignment horizontal="center"/>
    </xf>
    <xf numFmtId="0" fontId="30" fillId="22" borderId="41" xfId="422" applyBorder="1" applyAlignment="1">
      <alignment horizontal="center"/>
    </xf>
    <xf numFmtId="0" fontId="30" fillId="22" borderId="6" xfId="422" applyBorder="1" applyAlignment="1">
      <alignment horizontal="center"/>
    </xf>
    <xf numFmtId="0" fontId="30" fillId="22" borderId="40" xfId="422" applyBorder="1" applyAlignment="1">
      <alignment horizontal="center"/>
    </xf>
    <xf numFmtId="0" fontId="145" fillId="38" borderId="0" xfId="422" applyFont="1" applyFill="1" applyAlignment="1">
      <alignment horizontal="center"/>
    </xf>
    <xf numFmtId="0" fontId="10" fillId="38" borderId="50" xfId="422" applyFont="1" applyFill="1" applyBorder="1" applyAlignment="1">
      <alignment horizontal="center"/>
    </xf>
    <xf numFmtId="0" fontId="10" fillId="38" borderId="0" xfId="422" applyFont="1" applyFill="1" applyAlignment="1">
      <alignment horizontal="center"/>
    </xf>
    <xf numFmtId="0" fontId="10" fillId="38" borderId="52" xfId="422" applyFont="1" applyFill="1" applyBorder="1" applyAlignment="1">
      <alignment horizontal="center"/>
    </xf>
    <xf numFmtId="49" fontId="23" fillId="0" borderId="0" xfId="0" applyNumberFormat="1" applyFont="1" applyAlignment="1">
      <alignment horizontal="center"/>
    </xf>
    <xf numFmtId="37" fontId="11" fillId="0" borderId="0" xfId="0" applyFont="1" applyAlignment="1">
      <alignment horizontal="center"/>
    </xf>
    <xf numFmtId="37" fontId="10" fillId="0" borderId="0" xfId="0" applyFont="1" applyAlignment="1">
      <alignment horizontal="left" vertical="top" wrapText="1"/>
    </xf>
    <xf numFmtId="49" fontId="10" fillId="0" borderId="0" xfId="0" applyNumberFormat="1" applyFont="1" applyAlignment="1">
      <alignment horizontal="left" vertical="top" wrapText="1"/>
    </xf>
    <xf numFmtId="0" fontId="10" fillId="0" borderId="0" xfId="318" applyFont="1" applyAlignment="1">
      <alignment horizontal="justify" vertical="top"/>
    </xf>
    <xf numFmtId="37" fontId="0" fillId="0" borderId="0" xfId="0"/>
    <xf numFmtId="0" fontId="10" fillId="0" borderId="0" xfId="318" applyFont="1" applyAlignment="1">
      <alignment horizontal="justify" vertical="top" wrapText="1"/>
    </xf>
    <xf numFmtId="0" fontId="13" fillId="0" borderId="0" xfId="318" applyAlignment="1">
      <alignment horizontal="justify" vertical="top" wrapText="1"/>
    </xf>
    <xf numFmtId="37" fontId="23" fillId="0" borderId="0" xfId="318" applyNumberFormat="1" applyFont="1" applyAlignment="1">
      <alignment horizontal="center" vertical="top"/>
    </xf>
    <xf numFmtId="0" fontId="23" fillId="0" borderId="0" xfId="318" applyFont="1" applyAlignment="1">
      <alignment horizontal="center" vertical="top"/>
    </xf>
    <xf numFmtId="37" fontId="11" fillId="0" borderId="0" xfId="318" applyNumberFormat="1" applyFont="1" applyAlignment="1">
      <alignment horizontal="center" vertical="top"/>
    </xf>
    <xf numFmtId="0" fontId="11" fillId="0" borderId="0" xfId="318" applyFont="1" applyAlignment="1">
      <alignment horizontal="center" vertical="top"/>
    </xf>
    <xf numFmtId="0" fontId="10" fillId="0" borderId="0" xfId="318" applyFont="1" applyAlignment="1">
      <alignment horizontal="left" vertical="top"/>
    </xf>
    <xf numFmtId="37" fontId="125" fillId="0" borderId="0" xfId="0" applyFont="1" applyAlignment="1">
      <alignment horizontal="center"/>
    </xf>
    <xf numFmtId="0" fontId="120" fillId="0" borderId="0" xfId="318" applyFont="1" applyAlignment="1">
      <alignment horizontal="left" vertical="top" wrapText="1"/>
    </xf>
    <xf numFmtId="0" fontId="120" fillId="0" borderId="0" xfId="318" applyFont="1" applyAlignment="1">
      <alignment horizontal="left" vertical="top"/>
    </xf>
    <xf numFmtId="0" fontId="120" fillId="0" borderId="0" xfId="318" applyFont="1" applyAlignment="1">
      <alignment horizontal="justify" vertical="top" wrapText="1"/>
    </xf>
    <xf numFmtId="37" fontId="128" fillId="0" borderId="0" xfId="318" applyNumberFormat="1" applyFont="1" applyAlignment="1">
      <alignment horizontal="center" vertical="top"/>
    </xf>
    <xf numFmtId="0" fontId="128" fillId="0" borderId="0" xfId="318" applyFont="1" applyAlignment="1">
      <alignment horizontal="center" vertical="top"/>
    </xf>
    <xf numFmtId="37" fontId="125" fillId="0" borderId="0" xfId="318" applyNumberFormat="1" applyFont="1" applyAlignment="1">
      <alignment horizontal="center" vertical="top"/>
    </xf>
    <xf numFmtId="0" fontId="125" fillId="0" borderId="0" xfId="318" applyFont="1" applyAlignment="1">
      <alignment horizontal="center" vertical="top"/>
    </xf>
    <xf numFmtId="37" fontId="129" fillId="0" borderId="0" xfId="0" applyFont="1" applyAlignment="1">
      <alignment horizontal="justify" vertical="top" wrapText="1"/>
    </xf>
    <xf numFmtId="0" fontId="120" fillId="0" borderId="0" xfId="318" applyFont="1" applyAlignment="1">
      <alignment horizontal="left"/>
    </xf>
    <xf numFmtId="37" fontId="35" fillId="0" borderId="0" xfId="0" applyFont="1" applyAlignment="1">
      <alignment horizontal="center"/>
    </xf>
    <xf numFmtId="37" fontId="23" fillId="0" borderId="0" xfId="306" applyNumberFormat="1" applyFont="1" applyAlignment="1">
      <alignment horizontal="center"/>
    </xf>
    <xf numFmtId="37" fontId="11" fillId="0" borderId="0" xfId="306" applyNumberFormat="1" applyFont="1" applyAlignment="1">
      <alignment horizontal="center"/>
    </xf>
    <xf numFmtId="0" fontId="11" fillId="0" borderId="0" xfId="306" applyFont="1" applyAlignment="1">
      <alignment horizontal="center"/>
    </xf>
    <xf numFmtId="0" fontId="23" fillId="0" borderId="0" xfId="239" applyFont="1" applyAlignment="1">
      <alignment horizontal="center"/>
    </xf>
    <xf numFmtId="37" fontId="11" fillId="0" borderId="0" xfId="239" applyNumberFormat="1" applyFont="1" applyAlignment="1">
      <alignment horizontal="center"/>
    </xf>
    <xf numFmtId="0" fontId="11" fillId="0" borderId="0" xfId="0" applyNumberFormat="1" applyFont="1" applyAlignment="1">
      <alignment horizontal="center"/>
    </xf>
    <xf numFmtId="37" fontId="11" fillId="0" borderId="0" xfId="0" quotePrefix="1" applyFont="1" applyAlignment="1">
      <alignment horizontal="center" wrapText="1"/>
    </xf>
    <xf numFmtId="37" fontId="11" fillId="0" borderId="0" xfId="0" quotePrefix="1" applyFont="1" applyAlignment="1">
      <alignment horizontal="center"/>
    </xf>
    <xf numFmtId="37" fontId="86" fillId="0" borderId="0" xfId="0" applyFont="1" applyAlignment="1">
      <alignment horizontal="center"/>
    </xf>
    <xf numFmtId="37" fontId="11" fillId="0" borderId="0" xfId="0" quotePrefix="1" applyFont="1" applyAlignment="1">
      <alignment horizontal="center" vertical="center" wrapText="1"/>
    </xf>
    <xf numFmtId="0" fontId="11" fillId="0" borderId="0" xfId="239" applyFont="1" applyAlignment="1">
      <alignment horizontal="center"/>
    </xf>
    <xf numFmtId="37" fontId="10" fillId="0" borderId="0" xfId="0" applyFont="1" applyAlignment="1">
      <alignment horizontal="center"/>
    </xf>
    <xf numFmtId="0" fontId="10" fillId="0" borderId="0" xfId="239" applyFont="1" applyAlignment="1">
      <alignment horizontal="center"/>
    </xf>
    <xf numFmtId="37" fontId="8" fillId="0" borderId="64" xfId="0" applyFont="1" applyBorder="1" applyAlignment="1">
      <alignment horizontal="center" wrapText="1"/>
    </xf>
    <xf numFmtId="37" fontId="8" fillId="0" borderId="0" xfId="0" applyFont="1" applyAlignment="1">
      <alignment horizontal="center" wrapText="1"/>
    </xf>
    <xf numFmtId="14" fontId="11" fillId="0" borderId="45" xfId="0" applyNumberFormat="1" applyFont="1" applyBorder="1" applyAlignment="1">
      <alignment horizontal="center"/>
    </xf>
    <xf numFmtId="14" fontId="11" fillId="0" borderId="0" xfId="0" applyNumberFormat="1" applyFont="1" applyAlignment="1">
      <alignment horizontal="center"/>
    </xf>
    <xf numFmtId="37" fontId="8" fillId="0" borderId="0" xfId="0" applyFont="1" applyAlignment="1">
      <alignment horizontal="center"/>
    </xf>
    <xf numFmtId="37" fontId="8" fillId="0" borderId="65" xfId="0" applyFont="1" applyBorder="1" applyAlignment="1">
      <alignment horizontal="center"/>
    </xf>
    <xf numFmtId="0" fontId="10" fillId="0" borderId="0" xfId="239" applyFont="1" applyAlignment="1">
      <alignment horizontal="left" vertical="top" wrapText="1"/>
    </xf>
    <xf numFmtId="43" fontId="119" fillId="0" borderId="0" xfId="281" applyNumberFormat="1" applyAlignment="1">
      <alignment horizontal="left"/>
    </xf>
    <xf numFmtId="0" fontId="125" fillId="0" borderId="0" xfId="239" applyFont="1" applyAlignment="1">
      <alignment horizontal="center"/>
    </xf>
    <xf numFmtId="49" fontId="123" fillId="0" borderId="0" xfId="281" applyNumberFormat="1" applyFont="1" applyAlignment="1">
      <alignment horizontal="left" vertical="top" wrapText="1"/>
    </xf>
    <xf numFmtId="37" fontId="11" fillId="0" borderId="0" xfId="221" applyNumberFormat="1" applyFont="1" applyAlignment="1">
      <alignment horizontal="center"/>
    </xf>
    <xf numFmtId="0" fontId="11" fillId="0" borderId="0" xfId="221" applyFont="1" applyAlignment="1">
      <alignment horizontal="center"/>
    </xf>
    <xf numFmtId="0" fontId="80" fillId="0" borderId="0" xfId="225" applyFont="1" applyAlignment="1">
      <alignment horizontal="center"/>
    </xf>
    <xf numFmtId="0" fontId="77" fillId="41" borderId="0" xfId="281" applyFont="1" applyFill="1" applyAlignment="1">
      <alignment horizontal="center"/>
    </xf>
    <xf numFmtId="0" fontId="79" fillId="0" borderId="0" xfId="225" applyFont="1" applyAlignment="1">
      <alignment horizontal="center"/>
    </xf>
    <xf numFmtId="0" fontId="120" fillId="0" borderId="0" xfId="194" applyFont="1" applyAlignment="1">
      <alignment horizontal="center"/>
    </xf>
    <xf numFmtId="0" fontId="120" fillId="0" borderId="0" xfId="194" applyFont="1" applyAlignment="1">
      <alignment horizontal="center" wrapText="1"/>
    </xf>
    <xf numFmtId="0" fontId="125" fillId="0" borderId="0" xfId="194" applyFont="1" applyAlignment="1">
      <alignment horizontal="center"/>
    </xf>
    <xf numFmtId="170" fontId="125" fillId="0" borderId="0" xfId="326" applyNumberFormat="1" applyFont="1" applyFill="1" applyAlignment="1">
      <alignment horizontal="center"/>
    </xf>
  </cellXfs>
  <cellStyles count="453">
    <cellStyle name="20% - Accent1 2" xfId="1" xr:uid="{00000000-0005-0000-0000-000000000000}"/>
    <cellStyle name="20% - Accent1 3"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4 3"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1 3" xfId="10" xr:uid="{00000000-0005-0000-0000-000009000000}"/>
    <cellStyle name="40% - Accent2 2" xfId="11" xr:uid="{00000000-0005-0000-0000-00000A000000}"/>
    <cellStyle name="40% - Accent3 2" xfId="12" xr:uid="{00000000-0005-0000-0000-00000B000000}"/>
    <cellStyle name="40% - Accent4 2" xfId="13" xr:uid="{00000000-0005-0000-0000-00000C000000}"/>
    <cellStyle name="40% - Accent4 3" xfId="14" xr:uid="{00000000-0005-0000-0000-00000D000000}"/>
    <cellStyle name="40% - Accent5 2" xfId="15" xr:uid="{00000000-0005-0000-0000-00000E000000}"/>
    <cellStyle name="40% - Accent6 2" xfId="16" xr:uid="{00000000-0005-0000-0000-00000F000000}"/>
    <cellStyle name="40% - Accent6 3" xfId="17" xr:uid="{00000000-0005-0000-0000-000010000000}"/>
    <cellStyle name="60% - Accent1 2" xfId="18" xr:uid="{00000000-0005-0000-0000-000011000000}"/>
    <cellStyle name="60% - Accent1 3" xfId="19" xr:uid="{00000000-0005-0000-0000-000012000000}"/>
    <cellStyle name="60% - Accent2 2" xfId="20" xr:uid="{00000000-0005-0000-0000-000013000000}"/>
    <cellStyle name="60% - Accent3 2" xfId="21" xr:uid="{00000000-0005-0000-0000-000014000000}"/>
    <cellStyle name="60% - Accent3 3" xfId="22" xr:uid="{00000000-0005-0000-0000-000015000000}"/>
    <cellStyle name="60% - Accent4 2" xfId="23" xr:uid="{00000000-0005-0000-0000-000016000000}"/>
    <cellStyle name="60% - Accent4 3" xfId="24" xr:uid="{00000000-0005-0000-0000-000017000000}"/>
    <cellStyle name="60% - Accent5 2" xfId="25" xr:uid="{00000000-0005-0000-0000-000018000000}"/>
    <cellStyle name="60% - Accent6 2" xfId="26" xr:uid="{00000000-0005-0000-0000-000019000000}"/>
    <cellStyle name="Accent1 2" xfId="27" xr:uid="{00000000-0005-0000-0000-00001A000000}"/>
    <cellStyle name="Accent1 3" xfId="28" xr:uid="{00000000-0005-0000-0000-00001B000000}"/>
    <cellStyle name="Accent2 2" xfId="29" xr:uid="{00000000-0005-0000-0000-00001C000000}"/>
    <cellStyle name="Accent3 2" xfId="30" xr:uid="{00000000-0005-0000-0000-00001D000000}"/>
    <cellStyle name="Accent4 2" xfId="31" xr:uid="{00000000-0005-0000-0000-00001E000000}"/>
    <cellStyle name="Accent5" xfId="426" builtinId="45"/>
    <cellStyle name="Accent5 2" xfId="32" xr:uid="{00000000-0005-0000-0000-000020000000}"/>
    <cellStyle name="Accent6 2" xfId="33" xr:uid="{00000000-0005-0000-0000-000021000000}"/>
    <cellStyle name="Accounting" xfId="34" xr:uid="{00000000-0005-0000-0000-000022000000}"/>
    <cellStyle name="Accounting 2" xfId="35" xr:uid="{00000000-0005-0000-0000-000023000000}"/>
    <cellStyle name="Accounting 3" xfId="36" xr:uid="{00000000-0005-0000-0000-000024000000}"/>
    <cellStyle name="Accounting_2011-11" xfId="37" xr:uid="{00000000-0005-0000-0000-000025000000}"/>
    <cellStyle name="Bad" xfId="435" builtinId="27"/>
    <cellStyle name="Bad 2" xfId="38" xr:uid="{00000000-0005-0000-0000-000026000000}"/>
    <cellStyle name="Budget" xfId="39" xr:uid="{00000000-0005-0000-0000-000027000000}"/>
    <cellStyle name="Budget 2" xfId="40" xr:uid="{00000000-0005-0000-0000-000028000000}"/>
    <cellStyle name="Budget 3" xfId="41" xr:uid="{00000000-0005-0000-0000-000029000000}"/>
    <cellStyle name="Budget_2011-11" xfId="42" xr:uid="{00000000-0005-0000-0000-00002A000000}"/>
    <cellStyle name="C00A" xfId="43" xr:uid="{00000000-0005-0000-0000-00002B000000}"/>
    <cellStyle name="C00B" xfId="44" xr:uid="{00000000-0005-0000-0000-00002C000000}"/>
    <cellStyle name="C00L" xfId="45" xr:uid="{00000000-0005-0000-0000-00002D000000}"/>
    <cellStyle name="C01A" xfId="46" xr:uid="{00000000-0005-0000-0000-00002E000000}"/>
    <cellStyle name="C01B" xfId="47" xr:uid="{00000000-0005-0000-0000-00002F000000}"/>
    <cellStyle name="C01H" xfId="48" xr:uid="{00000000-0005-0000-0000-000030000000}"/>
    <cellStyle name="C01L" xfId="49" xr:uid="{00000000-0005-0000-0000-000031000000}"/>
    <cellStyle name="C02A" xfId="50" xr:uid="{00000000-0005-0000-0000-000032000000}"/>
    <cellStyle name="C02B" xfId="51" xr:uid="{00000000-0005-0000-0000-000033000000}"/>
    <cellStyle name="C02H" xfId="52" xr:uid="{00000000-0005-0000-0000-000034000000}"/>
    <cellStyle name="C02L" xfId="53" xr:uid="{00000000-0005-0000-0000-000035000000}"/>
    <cellStyle name="C03A" xfId="54" xr:uid="{00000000-0005-0000-0000-000036000000}"/>
    <cellStyle name="C03B" xfId="55" xr:uid="{00000000-0005-0000-0000-000037000000}"/>
    <cellStyle name="C03H" xfId="56" xr:uid="{00000000-0005-0000-0000-000038000000}"/>
    <cellStyle name="C03L" xfId="57" xr:uid="{00000000-0005-0000-0000-000039000000}"/>
    <cellStyle name="C04A" xfId="58" xr:uid="{00000000-0005-0000-0000-00003A000000}"/>
    <cellStyle name="C04B" xfId="59" xr:uid="{00000000-0005-0000-0000-00003B000000}"/>
    <cellStyle name="C04H" xfId="60" xr:uid="{00000000-0005-0000-0000-00003C000000}"/>
    <cellStyle name="C04L" xfId="61" xr:uid="{00000000-0005-0000-0000-00003D000000}"/>
    <cellStyle name="C05A" xfId="62" xr:uid="{00000000-0005-0000-0000-00003E000000}"/>
    <cellStyle name="C05B" xfId="63" xr:uid="{00000000-0005-0000-0000-00003F000000}"/>
    <cellStyle name="C05H" xfId="64" xr:uid="{00000000-0005-0000-0000-000040000000}"/>
    <cellStyle name="C05L" xfId="65" xr:uid="{00000000-0005-0000-0000-000041000000}"/>
    <cellStyle name="C06A" xfId="66" xr:uid="{00000000-0005-0000-0000-000042000000}"/>
    <cellStyle name="C06B" xfId="67" xr:uid="{00000000-0005-0000-0000-000043000000}"/>
    <cellStyle name="C06H" xfId="68" xr:uid="{00000000-0005-0000-0000-000044000000}"/>
    <cellStyle name="C06L" xfId="69" xr:uid="{00000000-0005-0000-0000-000045000000}"/>
    <cellStyle name="C07A" xfId="70" xr:uid="{00000000-0005-0000-0000-000046000000}"/>
    <cellStyle name="C07B" xfId="71" xr:uid="{00000000-0005-0000-0000-000047000000}"/>
    <cellStyle name="C07H" xfId="72" xr:uid="{00000000-0005-0000-0000-000048000000}"/>
    <cellStyle name="C07L" xfId="73" xr:uid="{00000000-0005-0000-0000-000049000000}"/>
    <cellStyle name="Calculation 2" xfId="74" xr:uid="{00000000-0005-0000-0000-00004A000000}"/>
    <cellStyle name="Calculation 3" xfId="75" xr:uid="{00000000-0005-0000-0000-00004B000000}"/>
    <cellStyle name="Check Cell 2" xfId="76" xr:uid="{00000000-0005-0000-0000-00004C000000}"/>
    <cellStyle name="combo" xfId="77" xr:uid="{00000000-0005-0000-0000-00004D000000}"/>
    <cellStyle name="Comma" xfId="78" builtinId="3"/>
    <cellStyle name="Comma [0] 2" xfId="79" xr:uid="{00000000-0005-0000-0000-00004F000000}"/>
    <cellStyle name="Comma 10" xfId="80" xr:uid="{00000000-0005-0000-0000-000050000000}"/>
    <cellStyle name="Comma 11" xfId="81" xr:uid="{00000000-0005-0000-0000-000051000000}"/>
    <cellStyle name="Comma 12" xfId="82" xr:uid="{00000000-0005-0000-0000-000052000000}"/>
    <cellStyle name="Comma 13" xfId="83" xr:uid="{00000000-0005-0000-0000-000053000000}"/>
    <cellStyle name="Comma 14" xfId="84" xr:uid="{00000000-0005-0000-0000-000054000000}"/>
    <cellStyle name="Comma 15" xfId="85" xr:uid="{00000000-0005-0000-0000-000055000000}"/>
    <cellStyle name="Comma 16" xfId="86" xr:uid="{00000000-0005-0000-0000-000056000000}"/>
    <cellStyle name="Comma 17" xfId="87" xr:uid="{00000000-0005-0000-0000-000057000000}"/>
    <cellStyle name="Comma 18" xfId="88" xr:uid="{00000000-0005-0000-0000-000058000000}"/>
    <cellStyle name="Comma 19" xfId="89" xr:uid="{00000000-0005-0000-0000-000059000000}"/>
    <cellStyle name="Comma 2" xfId="90" xr:uid="{00000000-0005-0000-0000-00005A000000}"/>
    <cellStyle name="Comma 2 2" xfId="91" xr:uid="{00000000-0005-0000-0000-00005B000000}"/>
    <cellStyle name="Comma 2 2 2" xfId="92" xr:uid="{00000000-0005-0000-0000-00005C000000}"/>
    <cellStyle name="Comma 2 2 2 2" xfId="93" xr:uid="{00000000-0005-0000-0000-00005D000000}"/>
    <cellStyle name="Comma 2 2 3" xfId="94" xr:uid="{00000000-0005-0000-0000-00005E000000}"/>
    <cellStyle name="Comma 2 2 4" xfId="425" xr:uid="{00000000-0005-0000-0000-00005F000000}"/>
    <cellStyle name="Comma 2 3" xfId="95" xr:uid="{00000000-0005-0000-0000-000060000000}"/>
    <cellStyle name="Comma 2 3 2" xfId="96" xr:uid="{00000000-0005-0000-0000-000061000000}"/>
    <cellStyle name="Comma 2 4" xfId="97" xr:uid="{00000000-0005-0000-0000-000062000000}"/>
    <cellStyle name="Comma 2 4 2" xfId="98" xr:uid="{00000000-0005-0000-0000-000063000000}"/>
    <cellStyle name="Comma 20" xfId="99" xr:uid="{00000000-0005-0000-0000-000064000000}"/>
    <cellStyle name="Comma 21" xfId="100" xr:uid="{00000000-0005-0000-0000-000065000000}"/>
    <cellStyle name="Comma 22" xfId="101" xr:uid="{00000000-0005-0000-0000-000066000000}"/>
    <cellStyle name="Comma 23" xfId="428" xr:uid="{1AFCE30D-B5C9-4186-874B-7374F8D4F753}"/>
    <cellStyle name="Comma 24" xfId="430" xr:uid="{427A05D6-6E64-4D5B-9D2A-7496478291BA}"/>
    <cellStyle name="Comma 25" xfId="432" xr:uid="{8648DEDF-C440-4E39-B230-F39455C51559}"/>
    <cellStyle name="Comma 3" xfId="102" xr:uid="{00000000-0005-0000-0000-000067000000}"/>
    <cellStyle name="Comma 3 2" xfId="103" xr:uid="{00000000-0005-0000-0000-000068000000}"/>
    <cellStyle name="Comma 3 2 2" xfId="104" xr:uid="{00000000-0005-0000-0000-000069000000}"/>
    <cellStyle name="Comma 3 3" xfId="105" xr:uid="{00000000-0005-0000-0000-00006A000000}"/>
    <cellStyle name="Comma 3 4" xfId="106" xr:uid="{00000000-0005-0000-0000-00006B000000}"/>
    <cellStyle name="Comma 3 5" xfId="423" xr:uid="{00000000-0005-0000-0000-00006C000000}"/>
    <cellStyle name="Comma 4" xfId="107" xr:uid="{00000000-0005-0000-0000-00006D000000}"/>
    <cellStyle name="Comma 4 2" xfId="108" xr:uid="{00000000-0005-0000-0000-00006E000000}"/>
    <cellStyle name="Comma 4 3" xfId="109" xr:uid="{00000000-0005-0000-0000-00006F000000}"/>
    <cellStyle name="Comma 4 4" xfId="110" xr:uid="{00000000-0005-0000-0000-000070000000}"/>
    <cellStyle name="Comma 4 5" xfId="111" xr:uid="{00000000-0005-0000-0000-000071000000}"/>
    <cellStyle name="Comma 4 6" xfId="112" xr:uid="{00000000-0005-0000-0000-000072000000}"/>
    <cellStyle name="Comma 5" xfId="113" xr:uid="{00000000-0005-0000-0000-000073000000}"/>
    <cellStyle name="Comma 5 2" xfId="114" xr:uid="{00000000-0005-0000-0000-000074000000}"/>
    <cellStyle name="Comma 6" xfId="115" xr:uid="{00000000-0005-0000-0000-000075000000}"/>
    <cellStyle name="Comma 6 2" xfId="116" xr:uid="{00000000-0005-0000-0000-000076000000}"/>
    <cellStyle name="Comma 6 3" xfId="117" xr:uid="{00000000-0005-0000-0000-000077000000}"/>
    <cellStyle name="Comma 7" xfId="118" xr:uid="{00000000-0005-0000-0000-000078000000}"/>
    <cellStyle name="Comma 7 2" xfId="119" xr:uid="{00000000-0005-0000-0000-000079000000}"/>
    <cellStyle name="Comma 7 3" xfId="120" xr:uid="{00000000-0005-0000-0000-00007A000000}"/>
    <cellStyle name="Comma 8" xfId="121" xr:uid="{00000000-0005-0000-0000-00007B000000}"/>
    <cellStyle name="Comma 8 2" xfId="122" xr:uid="{00000000-0005-0000-0000-00007C000000}"/>
    <cellStyle name="Comma 9" xfId="123" xr:uid="{00000000-0005-0000-0000-00007D000000}"/>
    <cellStyle name="Comma(2)" xfId="124" xr:uid="{00000000-0005-0000-0000-00007E000000}"/>
    <cellStyle name="Comma0" xfId="125" xr:uid="{00000000-0005-0000-0000-00007F000000}"/>
    <cellStyle name="Comma0 - Style2" xfId="126" xr:uid="{00000000-0005-0000-0000-000080000000}"/>
    <cellStyle name="Comma1 - Style1" xfId="127" xr:uid="{00000000-0005-0000-0000-000081000000}"/>
    <cellStyle name="Comments" xfId="128" xr:uid="{00000000-0005-0000-0000-000082000000}"/>
    <cellStyle name="Currency" xfId="433" builtinId="4"/>
    <cellStyle name="Currency 10" xfId="129" xr:uid="{00000000-0005-0000-0000-000083000000}"/>
    <cellStyle name="Currency 2" xfId="130" xr:uid="{00000000-0005-0000-0000-000084000000}"/>
    <cellStyle name="Currency 2 2" xfId="131" xr:uid="{00000000-0005-0000-0000-000085000000}"/>
    <cellStyle name="Currency 2 2 2" xfId="132" xr:uid="{00000000-0005-0000-0000-000086000000}"/>
    <cellStyle name="Currency 2 3" xfId="133" xr:uid="{00000000-0005-0000-0000-000087000000}"/>
    <cellStyle name="Currency 2 3 2" xfId="134" xr:uid="{00000000-0005-0000-0000-000088000000}"/>
    <cellStyle name="Currency 2 3 3" xfId="135" xr:uid="{00000000-0005-0000-0000-000089000000}"/>
    <cellStyle name="Currency 2 4" xfId="136" xr:uid="{00000000-0005-0000-0000-00008A000000}"/>
    <cellStyle name="Currency 2 4 2" xfId="137" xr:uid="{00000000-0005-0000-0000-00008B000000}"/>
    <cellStyle name="Currency 2 5" xfId="138" xr:uid="{00000000-0005-0000-0000-00008C000000}"/>
    <cellStyle name="Currency 3" xfId="139" xr:uid="{00000000-0005-0000-0000-00008D000000}"/>
    <cellStyle name="Currency 3 2" xfId="140" xr:uid="{00000000-0005-0000-0000-00008E000000}"/>
    <cellStyle name="Currency 3 3" xfId="141" xr:uid="{00000000-0005-0000-0000-00008F000000}"/>
    <cellStyle name="Currency 4" xfId="142" xr:uid="{00000000-0005-0000-0000-000090000000}"/>
    <cellStyle name="Currency 4 2" xfId="143" xr:uid="{00000000-0005-0000-0000-000091000000}"/>
    <cellStyle name="Currency 5" xfId="144" xr:uid="{00000000-0005-0000-0000-000092000000}"/>
    <cellStyle name="Currency 5 2" xfId="145" xr:uid="{00000000-0005-0000-0000-000093000000}"/>
    <cellStyle name="Currency 5 3" xfId="146" xr:uid="{00000000-0005-0000-0000-000094000000}"/>
    <cellStyle name="Currency 6" xfId="147" xr:uid="{00000000-0005-0000-0000-000095000000}"/>
    <cellStyle name="Currency 6 2" xfId="148" xr:uid="{00000000-0005-0000-0000-000096000000}"/>
    <cellStyle name="Currency 7" xfId="149" xr:uid="{00000000-0005-0000-0000-000097000000}"/>
    <cellStyle name="Currency 7 2" xfId="150" xr:uid="{00000000-0005-0000-0000-000098000000}"/>
    <cellStyle name="Currency 8" xfId="151" xr:uid="{00000000-0005-0000-0000-000099000000}"/>
    <cellStyle name="Currency 8 2" xfId="152" xr:uid="{00000000-0005-0000-0000-00009A000000}"/>
    <cellStyle name="Currency 9" xfId="153" xr:uid="{00000000-0005-0000-0000-00009B000000}"/>
    <cellStyle name="Currency 9 2" xfId="154" xr:uid="{00000000-0005-0000-0000-00009C000000}"/>
    <cellStyle name="Currency0" xfId="155" xr:uid="{00000000-0005-0000-0000-00009D000000}"/>
    <cellStyle name="Data Enter" xfId="156" xr:uid="{00000000-0005-0000-0000-00009E000000}"/>
    <cellStyle name="Date" xfId="157" xr:uid="{00000000-0005-0000-0000-00009F000000}"/>
    <cellStyle name="date 2" xfId="158" xr:uid="{00000000-0005-0000-0000-0000A0000000}"/>
    <cellStyle name="Explanatory Text 2" xfId="159" xr:uid="{00000000-0005-0000-0000-0000A1000000}"/>
    <cellStyle name="FactSheet" xfId="160" xr:uid="{00000000-0005-0000-0000-0000A2000000}"/>
    <cellStyle name="fish" xfId="161" xr:uid="{00000000-0005-0000-0000-0000A3000000}"/>
    <cellStyle name="Fixed" xfId="162" xr:uid="{00000000-0005-0000-0000-0000A4000000}"/>
    <cellStyle name="Good 2" xfId="163" xr:uid="{00000000-0005-0000-0000-0000A5000000}"/>
    <cellStyle name="Grey" xfId="164" xr:uid="{00000000-0005-0000-0000-0000A6000000}"/>
    <cellStyle name="Header1" xfId="165" xr:uid="{00000000-0005-0000-0000-0000A7000000}"/>
    <cellStyle name="Header2" xfId="166" xr:uid="{00000000-0005-0000-0000-0000A8000000}"/>
    <cellStyle name="Heading 1 2" xfId="167" xr:uid="{00000000-0005-0000-0000-0000A9000000}"/>
    <cellStyle name="Heading 1 3" xfId="168" xr:uid="{00000000-0005-0000-0000-0000AA000000}"/>
    <cellStyle name="Heading 2 2" xfId="169" xr:uid="{00000000-0005-0000-0000-0000AB000000}"/>
    <cellStyle name="Heading 2 3" xfId="170" xr:uid="{00000000-0005-0000-0000-0000AC000000}"/>
    <cellStyle name="Heading 3 2" xfId="171" xr:uid="{00000000-0005-0000-0000-0000AD000000}"/>
    <cellStyle name="Heading 3 3" xfId="172" xr:uid="{00000000-0005-0000-0000-0000AE000000}"/>
    <cellStyle name="Heading 4 2" xfId="173" xr:uid="{00000000-0005-0000-0000-0000AF000000}"/>
    <cellStyle name="Hyperlink 2" xfId="174" xr:uid="{00000000-0005-0000-0000-0000B0000000}"/>
    <cellStyle name="Hyperlink 3" xfId="175" xr:uid="{00000000-0005-0000-0000-0000B1000000}"/>
    <cellStyle name="Hyperlink 4" xfId="176" xr:uid="{00000000-0005-0000-0000-0000B2000000}"/>
    <cellStyle name="Input [yellow]" xfId="177" xr:uid="{00000000-0005-0000-0000-0000B3000000}"/>
    <cellStyle name="Input 2" xfId="178" xr:uid="{00000000-0005-0000-0000-0000B4000000}"/>
    <cellStyle name="input(0)" xfId="179" xr:uid="{00000000-0005-0000-0000-0000B5000000}"/>
    <cellStyle name="Input(2)" xfId="180" xr:uid="{00000000-0005-0000-0000-0000B6000000}"/>
    <cellStyle name="Linked Cell 2" xfId="181" xr:uid="{00000000-0005-0000-0000-0000B7000000}"/>
    <cellStyle name="MW_STANDARD" xfId="182" xr:uid="{00000000-0005-0000-0000-0000B8000000}"/>
    <cellStyle name="Neutral 2" xfId="183" xr:uid="{00000000-0005-0000-0000-0000B9000000}"/>
    <cellStyle name="New_normal" xfId="184" xr:uid="{00000000-0005-0000-0000-0000BA000000}"/>
    <cellStyle name="Normal" xfId="0" builtinId="0"/>
    <cellStyle name="Normal - Style1" xfId="185" xr:uid="{00000000-0005-0000-0000-0000BC000000}"/>
    <cellStyle name="Normal - Style2" xfId="186" xr:uid="{00000000-0005-0000-0000-0000BD000000}"/>
    <cellStyle name="Normal - Style3" xfId="187" xr:uid="{00000000-0005-0000-0000-0000BE000000}"/>
    <cellStyle name="Normal - Style4" xfId="188" xr:uid="{00000000-0005-0000-0000-0000BF000000}"/>
    <cellStyle name="Normal - Style5" xfId="189" xr:uid="{00000000-0005-0000-0000-0000C0000000}"/>
    <cellStyle name="Normal - Style6" xfId="190" xr:uid="{00000000-0005-0000-0000-0000C1000000}"/>
    <cellStyle name="Normal - Style7" xfId="191" xr:uid="{00000000-0005-0000-0000-0000C2000000}"/>
    <cellStyle name="Normal - Style8" xfId="192" xr:uid="{00000000-0005-0000-0000-0000C3000000}"/>
    <cellStyle name="Normal 10" xfId="193" xr:uid="{00000000-0005-0000-0000-0000C4000000}"/>
    <cellStyle name="Normal 10 2" xfId="194" xr:uid="{00000000-0005-0000-0000-0000C5000000}"/>
    <cellStyle name="Normal 10 2 2" xfId="195" xr:uid="{00000000-0005-0000-0000-0000C6000000}"/>
    <cellStyle name="Normal 10 2 3" xfId="196" xr:uid="{00000000-0005-0000-0000-0000C7000000}"/>
    <cellStyle name="Normal 10 3" xfId="197" xr:uid="{00000000-0005-0000-0000-0000C8000000}"/>
    <cellStyle name="Normal 10_2112 DF Schedule" xfId="198" xr:uid="{00000000-0005-0000-0000-0000C9000000}"/>
    <cellStyle name="Normal 100" xfId="445" xr:uid="{896E6B2C-9E84-46C6-9C27-CD5E9B312E44}"/>
    <cellStyle name="Normal 101" xfId="446" xr:uid="{FAAAC921-CD60-49D4-805D-142BA6F798CF}"/>
    <cellStyle name="Normal 102" xfId="447" xr:uid="{9E5C74AD-E0DE-4303-951E-A7B423C76ECC}"/>
    <cellStyle name="Normal 103" xfId="448" xr:uid="{689AB412-FFE2-49BB-9391-2E76920C39A2}"/>
    <cellStyle name="Normal 104" xfId="449" xr:uid="{8EDF8D26-6BDF-4053-A815-64031F637884}"/>
    <cellStyle name="Normal 105" xfId="450" xr:uid="{EFE8D847-FBA5-4DCC-9E4F-CA1658316DF7}"/>
    <cellStyle name="Normal 106" xfId="451" xr:uid="{D6402F65-130B-49D5-9F25-E93D38C6778F}"/>
    <cellStyle name="Normal 107" xfId="452" xr:uid="{2DB0D9F9-56AE-48A6-8808-F75945849B9E}"/>
    <cellStyle name="Normal 11" xfId="199" xr:uid="{00000000-0005-0000-0000-0000CA000000}"/>
    <cellStyle name="Normal 11 2" xfId="200" xr:uid="{00000000-0005-0000-0000-0000CB000000}"/>
    <cellStyle name="Normal 11 3" xfId="201" xr:uid="{00000000-0005-0000-0000-0000CC000000}"/>
    <cellStyle name="Normal 12" xfId="202" xr:uid="{00000000-0005-0000-0000-0000CD000000}"/>
    <cellStyle name="Normal 12 2" xfId="203" xr:uid="{00000000-0005-0000-0000-0000CE000000}"/>
    <cellStyle name="Normal 13" xfId="204" xr:uid="{00000000-0005-0000-0000-0000CF000000}"/>
    <cellStyle name="Normal 13 2" xfId="205" xr:uid="{00000000-0005-0000-0000-0000D0000000}"/>
    <cellStyle name="Normal 14" xfId="206" xr:uid="{00000000-0005-0000-0000-0000D1000000}"/>
    <cellStyle name="Normal 14 2" xfId="207" xr:uid="{00000000-0005-0000-0000-0000D2000000}"/>
    <cellStyle name="Normal 15" xfId="208" xr:uid="{00000000-0005-0000-0000-0000D3000000}"/>
    <cellStyle name="Normal 15 2" xfId="209" xr:uid="{00000000-0005-0000-0000-0000D4000000}"/>
    <cellStyle name="Normal 16" xfId="210" xr:uid="{00000000-0005-0000-0000-0000D5000000}"/>
    <cellStyle name="Normal 16 2" xfId="211" xr:uid="{00000000-0005-0000-0000-0000D6000000}"/>
    <cellStyle name="Normal 17" xfId="212" xr:uid="{00000000-0005-0000-0000-0000D7000000}"/>
    <cellStyle name="Normal 18" xfId="213" xr:uid="{00000000-0005-0000-0000-0000D8000000}"/>
    <cellStyle name="Normal 19" xfId="214" xr:uid="{00000000-0005-0000-0000-0000D9000000}"/>
    <cellStyle name="Normal 2" xfId="215" xr:uid="{00000000-0005-0000-0000-0000DA000000}"/>
    <cellStyle name="Normal 2 2" xfId="216" xr:uid="{00000000-0005-0000-0000-0000DB000000}"/>
    <cellStyle name="Normal 2 2 2" xfId="217" xr:uid="{00000000-0005-0000-0000-0000DC000000}"/>
    <cellStyle name="Normal 2 2 3" xfId="218" xr:uid="{00000000-0005-0000-0000-0000DD000000}"/>
    <cellStyle name="Normal 2 2 4" xfId="219" xr:uid="{00000000-0005-0000-0000-0000DE000000}"/>
    <cellStyle name="Normal 2 2_Actual_Fuel" xfId="220" xr:uid="{00000000-0005-0000-0000-0000DF000000}"/>
    <cellStyle name="Normal 2 3" xfId="221" xr:uid="{00000000-0005-0000-0000-0000E0000000}"/>
    <cellStyle name="Normal 2 3 2" xfId="222" xr:uid="{00000000-0005-0000-0000-0000E1000000}"/>
    <cellStyle name="Normal 2 3 3" xfId="223" xr:uid="{00000000-0005-0000-0000-0000E2000000}"/>
    <cellStyle name="Normal 2 3 4" xfId="224" xr:uid="{00000000-0005-0000-0000-0000E3000000}"/>
    <cellStyle name="Normal 2 4" xfId="225" xr:uid="{00000000-0005-0000-0000-0000E4000000}"/>
    <cellStyle name="Normal 2 4 2" xfId="226" xr:uid="{00000000-0005-0000-0000-0000E5000000}"/>
    <cellStyle name="Normal 2 5" xfId="227" xr:uid="{00000000-0005-0000-0000-0000E6000000}"/>
    <cellStyle name="Normal 2 6" xfId="422" xr:uid="{00000000-0005-0000-0000-0000E7000000}"/>
    <cellStyle name="Normal 2_2012-10" xfId="228" xr:uid="{00000000-0005-0000-0000-0000E8000000}"/>
    <cellStyle name="Normal 20" xfId="229" xr:uid="{00000000-0005-0000-0000-0000E9000000}"/>
    <cellStyle name="Normal 21" xfId="230" xr:uid="{00000000-0005-0000-0000-0000EA000000}"/>
    <cellStyle name="Normal 22" xfId="231" xr:uid="{00000000-0005-0000-0000-0000EB000000}"/>
    <cellStyle name="Normal 23" xfId="232" xr:uid="{00000000-0005-0000-0000-0000EC000000}"/>
    <cellStyle name="Normal 24" xfId="233" xr:uid="{00000000-0005-0000-0000-0000ED000000}"/>
    <cellStyle name="Normal 25" xfId="234" xr:uid="{00000000-0005-0000-0000-0000EE000000}"/>
    <cellStyle name="Normal 26" xfId="235" xr:uid="{00000000-0005-0000-0000-0000EF000000}"/>
    <cellStyle name="Normal 27" xfId="236" xr:uid="{00000000-0005-0000-0000-0000F0000000}"/>
    <cellStyle name="Normal 28" xfId="237" xr:uid="{00000000-0005-0000-0000-0000F1000000}"/>
    <cellStyle name="Normal 29" xfId="238" xr:uid="{00000000-0005-0000-0000-0000F2000000}"/>
    <cellStyle name="Normal 3" xfId="239" xr:uid="{00000000-0005-0000-0000-0000F3000000}"/>
    <cellStyle name="Normal 3 2" xfId="240" xr:uid="{00000000-0005-0000-0000-0000F4000000}"/>
    <cellStyle name="Normal 3 3" xfId="241" xr:uid="{00000000-0005-0000-0000-0000F5000000}"/>
    <cellStyle name="Normal 3 4" xfId="242" xr:uid="{00000000-0005-0000-0000-0000F6000000}"/>
    <cellStyle name="Normal 3_2012 PR" xfId="243" xr:uid="{00000000-0005-0000-0000-0000F7000000}"/>
    <cellStyle name="Normal 30" xfId="244" xr:uid="{00000000-0005-0000-0000-0000F8000000}"/>
    <cellStyle name="Normal 31" xfId="245" xr:uid="{00000000-0005-0000-0000-0000F9000000}"/>
    <cellStyle name="Normal 32" xfId="246" xr:uid="{00000000-0005-0000-0000-0000FA000000}"/>
    <cellStyle name="Normal 33" xfId="247" xr:uid="{00000000-0005-0000-0000-0000FB000000}"/>
    <cellStyle name="Normal 34" xfId="248" xr:uid="{00000000-0005-0000-0000-0000FC000000}"/>
    <cellStyle name="Normal 35" xfId="249" xr:uid="{00000000-0005-0000-0000-0000FD000000}"/>
    <cellStyle name="Normal 36" xfId="250" xr:uid="{00000000-0005-0000-0000-0000FE000000}"/>
    <cellStyle name="Normal 37" xfId="251" xr:uid="{00000000-0005-0000-0000-0000FF000000}"/>
    <cellStyle name="Normal 38" xfId="252" xr:uid="{00000000-0005-0000-0000-000000010000}"/>
    <cellStyle name="Normal 39" xfId="253" xr:uid="{00000000-0005-0000-0000-000001010000}"/>
    <cellStyle name="Normal 4" xfId="254" xr:uid="{00000000-0005-0000-0000-000002010000}"/>
    <cellStyle name="Normal 4 2" xfId="255" xr:uid="{00000000-0005-0000-0000-000003010000}"/>
    <cellStyle name="Normal 40" xfId="256" xr:uid="{00000000-0005-0000-0000-000004010000}"/>
    <cellStyle name="Normal 41" xfId="257" xr:uid="{00000000-0005-0000-0000-000005010000}"/>
    <cellStyle name="Normal 42" xfId="258" xr:uid="{00000000-0005-0000-0000-000006010000}"/>
    <cellStyle name="Normal 43" xfId="259" xr:uid="{00000000-0005-0000-0000-000007010000}"/>
    <cellStyle name="Normal 44" xfId="260" xr:uid="{00000000-0005-0000-0000-000008010000}"/>
    <cellStyle name="Normal 45" xfId="261" xr:uid="{00000000-0005-0000-0000-000009010000}"/>
    <cellStyle name="Normal 46" xfId="262" xr:uid="{00000000-0005-0000-0000-00000A010000}"/>
    <cellStyle name="Normal 47" xfId="263" xr:uid="{00000000-0005-0000-0000-00000B010000}"/>
    <cellStyle name="Normal 48" xfId="264" xr:uid="{00000000-0005-0000-0000-00000C010000}"/>
    <cellStyle name="Normal 49" xfId="265" xr:uid="{00000000-0005-0000-0000-00000D010000}"/>
    <cellStyle name="Normal 5" xfId="266" xr:uid="{00000000-0005-0000-0000-00000E010000}"/>
    <cellStyle name="Normal 5 2" xfId="267" xr:uid="{00000000-0005-0000-0000-00000F010000}"/>
    <cellStyle name="Normal 5 2 2" xfId="268" xr:uid="{00000000-0005-0000-0000-000010010000}"/>
    <cellStyle name="Normal 5 3" xfId="269" xr:uid="{00000000-0005-0000-0000-000011010000}"/>
    <cellStyle name="Normal 5_2112 DF Schedule" xfId="270" xr:uid="{00000000-0005-0000-0000-000012010000}"/>
    <cellStyle name="Normal 50" xfId="271" xr:uid="{00000000-0005-0000-0000-000013010000}"/>
    <cellStyle name="Normal 51" xfId="272" xr:uid="{00000000-0005-0000-0000-000014010000}"/>
    <cellStyle name="Normal 52" xfId="273" xr:uid="{00000000-0005-0000-0000-000015010000}"/>
    <cellStyle name="Normal 53" xfId="274" xr:uid="{00000000-0005-0000-0000-000016010000}"/>
    <cellStyle name="Normal 54" xfId="275" xr:uid="{00000000-0005-0000-0000-000017010000}"/>
    <cellStyle name="Normal 55" xfId="276" xr:uid="{00000000-0005-0000-0000-000018010000}"/>
    <cellStyle name="Normal 56" xfId="277" xr:uid="{00000000-0005-0000-0000-000019010000}"/>
    <cellStyle name="Normal 57" xfId="278" xr:uid="{00000000-0005-0000-0000-00001A010000}"/>
    <cellStyle name="Normal 58" xfId="279" xr:uid="{00000000-0005-0000-0000-00001B010000}"/>
    <cellStyle name="Normal 59" xfId="280" xr:uid="{00000000-0005-0000-0000-00001C010000}"/>
    <cellStyle name="Normal 6" xfId="281" xr:uid="{00000000-0005-0000-0000-00001D010000}"/>
    <cellStyle name="Normal 6 2" xfId="282" xr:uid="{00000000-0005-0000-0000-00001E010000}"/>
    <cellStyle name="Normal 6 3" xfId="283" xr:uid="{00000000-0005-0000-0000-00001F010000}"/>
    <cellStyle name="Normal 60" xfId="284" xr:uid="{00000000-0005-0000-0000-000020010000}"/>
    <cellStyle name="Normal 61" xfId="285" xr:uid="{00000000-0005-0000-0000-000021010000}"/>
    <cellStyle name="Normal 62" xfId="286" xr:uid="{00000000-0005-0000-0000-000022010000}"/>
    <cellStyle name="Normal 63" xfId="287" xr:uid="{00000000-0005-0000-0000-000023010000}"/>
    <cellStyle name="Normal 64" xfId="288" xr:uid="{00000000-0005-0000-0000-000024010000}"/>
    <cellStyle name="Normal 65" xfId="289" xr:uid="{00000000-0005-0000-0000-000025010000}"/>
    <cellStyle name="Normal 66" xfId="290" xr:uid="{00000000-0005-0000-0000-000026010000}"/>
    <cellStyle name="Normal 67" xfId="291" xr:uid="{00000000-0005-0000-0000-000027010000}"/>
    <cellStyle name="Normal 68" xfId="292" xr:uid="{00000000-0005-0000-0000-000028010000}"/>
    <cellStyle name="Normal 69" xfId="293" xr:uid="{00000000-0005-0000-0000-000029010000}"/>
    <cellStyle name="Normal 7" xfId="294" xr:uid="{00000000-0005-0000-0000-00002A010000}"/>
    <cellStyle name="Normal 7 2" xfId="295" xr:uid="{00000000-0005-0000-0000-00002B010000}"/>
    <cellStyle name="Normal 70" xfId="296" xr:uid="{00000000-0005-0000-0000-00002C010000}"/>
    <cellStyle name="Normal 71" xfId="297" xr:uid="{00000000-0005-0000-0000-00002D010000}"/>
    <cellStyle name="Normal 72" xfId="298" xr:uid="{00000000-0005-0000-0000-00002E010000}"/>
    <cellStyle name="Normal 73" xfId="299" xr:uid="{00000000-0005-0000-0000-00002F010000}"/>
    <cellStyle name="Normal 74" xfId="300" xr:uid="{00000000-0005-0000-0000-000030010000}"/>
    <cellStyle name="Normal 75" xfId="301" xr:uid="{00000000-0005-0000-0000-000031010000}"/>
    <cellStyle name="Normal 76" xfId="302" xr:uid="{00000000-0005-0000-0000-000032010000}"/>
    <cellStyle name="Normal 77" xfId="303" xr:uid="{00000000-0005-0000-0000-000033010000}"/>
    <cellStyle name="Normal 78" xfId="304" xr:uid="{00000000-0005-0000-0000-000034010000}"/>
    <cellStyle name="Normal 79" xfId="305" xr:uid="{00000000-0005-0000-0000-000035010000}"/>
    <cellStyle name="Normal 8" xfId="306" xr:uid="{00000000-0005-0000-0000-000036010000}"/>
    <cellStyle name="Normal 8 2" xfId="307" xr:uid="{00000000-0005-0000-0000-000037010000}"/>
    <cellStyle name="Normal 80" xfId="308" xr:uid="{00000000-0005-0000-0000-000038010000}"/>
    <cellStyle name="Normal 81" xfId="309" xr:uid="{00000000-0005-0000-0000-000039010000}"/>
    <cellStyle name="Normal 82" xfId="310" xr:uid="{00000000-0005-0000-0000-00003A010000}"/>
    <cellStyle name="Normal 83" xfId="311" xr:uid="{00000000-0005-0000-0000-00003B010000}"/>
    <cellStyle name="Normal 84" xfId="312" xr:uid="{00000000-0005-0000-0000-00003C010000}"/>
    <cellStyle name="Normal 85" xfId="313" xr:uid="{00000000-0005-0000-0000-00003D010000}"/>
    <cellStyle name="Normal 86" xfId="314" xr:uid="{00000000-0005-0000-0000-00003E010000}"/>
    <cellStyle name="Normal 87" xfId="427" xr:uid="{B4E7FC6B-0462-49D6-8C59-795488ED26E9}"/>
    <cellStyle name="Normal 88" xfId="429" xr:uid="{34A033C8-C779-49C7-8337-49DC23272B04}"/>
    <cellStyle name="Normal 89" xfId="431" xr:uid="{A01B85D5-EF2E-424F-91D4-44F676BC4F1D}"/>
    <cellStyle name="Normal 9" xfId="315" xr:uid="{00000000-0005-0000-0000-00003F010000}"/>
    <cellStyle name="Normal 9 2" xfId="316" xr:uid="{00000000-0005-0000-0000-000040010000}"/>
    <cellStyle name="Normal 9 3" xfId="317" xr:uid="{00000000-0005-0000-0000-000041010000}"/>
    <cellStyle name="Normal 90" xfId="434" xr:uid="{CAE67487-A5EC-4A0B-B3F4-9FD8BDE8F045}"/>
    <cellStyle name="Normal 91" xfId="436" xr:uid="{74FB9B67-BC0C-4B8E-8C28-F142FC3C6A02}"/>
    <cellStyle name="Normal 92" xfId="437" xr:uid="{91669352-DB35-4682-90D7-434C45D1F9AB}"/>
    <cellStyle name="Normal 93" xfId="438" xr:uid="{D6952AE1-7B9A-4C93-BF32-DAF26357FCAC}"/>
    <cellStyle name="Normal 94" xfId="439" xr:uid="{DE631761-B950-4629-8A2F-43DF83BB83AC}"/>
    <cellStyle name="Normal 95" xfId="440" xr:uid="{799BBB4E-9562-4182-81D4-C8800B40E180}"/>
    <cellStyle name="Normal 96" xfId="441" xr:uid="{C48B74E7-E3A9-42C8-B04B-3F6F522E26CD}"/>
    <cellStyle name="Normal 97" xfId="442" xr:uid="{BFBA376D-76A2-4F50-BF6F-182EC1295714}"/>
    <cellStyle name="Normal 98" xfId="443" xr:uid="{CA7D8E99-07C2-41F9-A80A-951CCA185E7A}"/>
    <cellStyle name="Normal 99" xfId="444" xr:uid="{5C9A117A-EB10-4DD7-93AA-322537FB5255}"/>
    <cellStyle name="Normal_Book1" xfId="318" xr:uid="{00000000-0005-0000-0000-000042010000}"/>
    <cellStyle name="Note 2" xfId="319" xr:uid="{00000000-0005-0000-0000-000043010000}"/>
    <cellStyle name="Note 3" xfId="320" xr:uid="{00000000-0005-0000-0000-000044010000}"/>
    <cellStyle name="Notes" xfId="321" xr:uid="{00000000-0005-0000-0000-000045010000}"/>
    <cellStyle name="Output 2" xfId="322" xr:uid="{00000000-0005-0000-0000-000046010000}"/>
    <cellStyle name="Percent" xfId="323" builtinId="5"/>
    <cellStyle name="Percent [2]" xfId="324" xr:uid="{00000000-0005-0000-0000-000048010000}"/>
    <cellStyle name="Percent 10" xfId="325" xr:uid="{00000000-0005-0000-0000-000049010000}"/>
    <cellStyle name="Percent 11" xfId="326" xr:uid="{00000000-0005-0000-0000-00004A010000}"/>
    <cellStyle name="Percent 12" xfId="327" xr:uid="{00000000-0005-0000-0000-00004B010000}"/>
    <cellStyle name="Percent 13" xfId="328" xr:uid="{00000000-0005-0000-0000-00004C010000}"/>
    <cellStyle name="Percent 2" xfId="329" xr:uid="{00000000-0005-0000-0000-00004D010000}"/>
    <cellStyle name="Percent 2 2" xfId="330" xr:uid="{00000000-0005-0000-0000-00004E010000}"/>
    <cellStyle name="Percent 2 2 2" xfId="331" xr:uid="{00000000-0005-0000-0000-00004F010000}"/>
    <cellStyle name="Percent 2 2 2 2" xfId="332" xr:uid="{00000000-0005-0000-0000-000050010000}"/>
    <cellStyle name="Percent 2 2 3" xfId="333" xr:uid="{00000000-0005-0000-0000-000051010000}"/>
    <cellStyle name="Percent 2 2 4" xfId="334" xr:uid="{00000000-0005-0000-0000-000052010000}"/>
    <cellStyle name="Percent 2 3" xfId="335" xr:uid="{00000000-0005-0000-0000-000053010000}"/>
    <cellStyle name="Percent 2 3 2" xfId="336" xr:uid="{00000000-0005-0000-0000-000054010000}"/>
    <cellStyle name="Percent 2 4" xfId="337" xr:uid="{00000000-0005-0000-0000-000055010000}"/>
    <cellStyle name="Percent 2 4 2" xfId="338" xr:uid="{00000000-0005-0000-0000-000056010000}"/>
    <cellStyle name="Percent 2 5" xfId="339" xr:uid="{00000000-0005-0000-0000-000057010000}"/>
    <cellStyle name="Percent 2 6" xfId="340" xr:uid="{00000000-0005-0000-0000-000058010000}"/>
    <cellStyle name="Percent 3" xfId="341" xr:uid="{00000000-0005-0000-0000-000059010000}"/>
    <cellStyle name="Percent 3 2" xfId="342" xr:uid="{00000000-0005-0000-0000-00005A010000}"/>
    <cellStyle name="Percent 3 2 2" xfId="343" xr:uid="{00000000-0005-0000-0000-00005B010000}"/>
    <cellStyle name="Percent 3 3" xfId="344" xr:uid="{00000000-0005-0000-0000-00005C010000}"/>
    <cellStyle name="Percent 3 3 2" xfId="345" xr:uid="{00000000-0005-0000-0000-00005D010000}"/>
    <cellStyle name="Percent 3 4" xfId="346" xr:uid="{00000000-0005-0000-0000-00005E010000}"/>
    <cellStyle name="Percent 3 5" xfId="347" xr:uid="{00000000-0005-0000-0000-00005F010000}"/>
    <cellStyle name="Percent 3 6" xfId="424" xr:uid="{00000000-0005-0000-0000-000060010000}"/>
    <cellStyle name="Percent 4" xfId="348" xr:uid="{00000000-0005-0000-0000-000061010000}"/>
    <cellStyle name="Percent 4 2" xfId="349" xr:uid="{00000000-0005-0000-0000-000062010000}"/>
    <cellStyle name="Percent 4 3" xfId="350" xr:uid="{00000000-0005-0000-0000-000063010000}"/>
    <cellStyle name="Percent 5" xfId="351" xr:uid="{00000000-0005-0000-0000-000064010000}"/>
    <cellStyle name="Percent 6" xfId="352" xr:uid="{00000000-0005-0000-0000-000065010000}"/>
    <cellStyle name="Percent 7" xfId="353" xr:uid="{00000000-0005-0000-0000-000066010000}"/>
    <cellStyle name="Percent 7 2" xfId="354" xr:uid="{00000000-0005-0000-0000-000067010000}"/>
    <cellStyle name="Percent 8" xfId="355" xr:uid="{00000000-0005-0000-0000-000068010000}"/>
    <cellStyle name="Percent 9" xfId="356" xr:uid="{00000000-0005-0000-0000-000069010000}"/>
    <cellStyle name="Percent(1)" xfId="357" xr:uid="{00000000-0005-0000-0000-00006A010000}"/>
    <cellStyle name="Percent(2)" xfId="358" xr:uid="{00000000-0005-0000-0000-00006B010000}"/>
    <cellStyle name="PRM" xfId="359" xr:uid="{00000000-0005-0000-0000-00006C010000}"/>
    <cellStyle name="PRM 2" xfId="360" xr:uid="{00000000-0005-0000-0000-00006D010000}"/>
    <cellStyle name="PRM 3" xfId="361" xr:uid="{00000000-0005-0000-0000-00006E010000}"/>
    <cellStyle name="PRM_2011-11" xfId="362" xr:uid="{00000000-0005-0000-0000-00006F010000}"/>
    <cellStyle name="PS_Comma" xfId="363" xr:uid="{00000000-0005-0000-0000-000070010000}"/>
    <cellStyle name="PSChar" xfId="364" xr:uid="{00000000-0005-0000-0000-000071010000}"/>
    <cellStyle name="PSDate" xfId="365" xr:uid="{00000000-0005-0000-0000-000072010000}"/>
    <cellStyle name="PSDec" xfId="366" xr:uid="{00000000-0005-0000-0000-000073010000}"/>
    <cellStyle name="PSHeading" xfId="367" xr:uid="{00000000-0005-0000-0000-000074010000}"/>
    <cellStyle name="PSHeading 2" xfId="368" xr:uid="{00000000-0005-0000-0000-000075010000}"/>
    <cellStyle name="PSInt" xfId="369" xr:uid="{00000000-0005-0000-0000-000076010000}"/>
    <cellStyle name="PSSpacer" xfId="370" xr:uid="{00000000-0005-0000-0000-000077010000}"/>
    <cellStyle name="R00A" xfId="371" xr:uid="{00000000-0005-0000-0000-000078010000}"/>
    <cellStyle name="R00B" xfId="372" xr:uid="{00000000-0005-0000-0000-000079010000}"/>
    <cellStyle name="R00L" xfId="373" xr:uid="{00000000-0005-0000-0000-00007A010000}"/>
    <cellStyle name="R01A" xfId="374" xr:uid="{00000000-0005-0000-0000-00007B010000}"/>
    <cellStyle name="R01B" xfId="375" xr:uid="{00000000-0005-0000-0000-00007C010000}"/>
    <cellStyle name="R01H" xfId="376" xr:uid="{00000000-0005-0000-0000-00007D010000}"/>
    <cellStyle name="R01L" xfId="377" xr:uid="{00000000-0005-0000-0000-00007E010000}"/>
    <cellStyle name="R02A" xfId="378" xr:uid="{00000000-0005-0000-0000-00007F010000}"/>
    <cellStyle name="R02B" xfId="379" xr:uid="{00000000-0005-0000-0000-000080010000}"/>
    <cellStyle name="R02H" xfId="380" xr:uid="{00000000-0005-0000-0000-000081010000}"/>
    <cellStyle name="R02L" xfId="381" xr:uid="{00000000-0005-0000-0000-000082010000}"/>
    <cellStyle name="R03A" xfId="382" xr:uid="{00000000-0005-0000-0000-000083010000}"/>
    <cellStyle name="R03B" xfId="383" xr:uid="{00000000-0005-0000-0000-000084010000}"/>
    <cellStyle name="R03H" xfId="384" xr:uid="{00000000-0005-0000-0000-000085010000}"/>
    <cellStyle name="R03L" xfId="385" xr:uid="{00000000-0005-0000-0000-000086010000}"/>
    <cellStyle name="R04A" xfId="386" xr:uid="{00000000-0005-0000-0000-000087010000}"/>
    <cellStyle name="R04B" xfId="387" xr:uid="{00000000-0005-0000-0000-000088010000}"/>
    <cellStyle name="R04H" xfId="388" xr:uid="{00000000-0005-0000-0000-000089010000}"/>
    <cellStyle name="R04L" xfId="389" xr:uid="{00000000-0005-0000-0000-00008A010000}"/>
    <cellStyle name="R05A" xfId="390" xr:uid="{00000000-0005-0000-0000-00008B010000}"/>
    <cellStyle name="R05B" xfId="391" xr:uid="{00000000-0005-0000-0000-00008C010000}"/>
    <cellStyle name="R05H" xfId="392" xr:uid="{00000000-0005-0000-0000-00008D010000}"/>
    <cellStyle name="R05L" xfId="393" xr:uid="{00000000-0005-0000-0000-00008E010000}"/>
    <cellStyle name="R06A" xfId="394" xr:uid="{00000000-0005-0000-0000-00008F010000}"/>
    <cellStyle name="R06B" xfId="395" xr:uid="{00000000-0005-0000-0000-000090010000}"/>
    <cellStyle name="R06H" xfId="396" xr:uid="{00000000-0005-0000-0000-000091010000}"/>
    <cellStyle name="R06L" xfId="397" xr:uid="{00000000-0005-0000-0000-000092010000}"/>
    <cellStyle name="R07A" xfId="398" xr:uid="{00000000-0005-0000-0000-000093010000}"/>
    <cellStyle name="R07B" xfId="399" xr:uid="{00000000-0005-0000-0000-000094010000}"/>
    <cellStyle name="R07H" xfId="400" xr:uid="{00000000-0005-0000-0000-000095010000}"/>
    <cellStyle name="R07L" xfId="401" xr:uid="{00000000-0005-0000-0000-000096010000}"/>
    <cellStyle name="STYL0 - Style1" xfId="402" xr:uid="{00000000-0005-0000-0000-000097010000}"/>
    <cellStyle name="STYL1 - Style2" xfId="403" xr:uid="{00000000-0005-0000-0000-000098010000}"/>
    <cellStyle name="STYL2 - Style3" xfId="404" xr:uid="{00000000-0005-0000-0000-000099010000}"/>
    <cellStyle name="STYL3 - Style4" xfId="405" xr:uid="{00000000-0005-0000-0000-00009A010000}"/>
    <cellStyle name="STYL4 - Style5" xfId="406" xr:uid="{00000000-0005-0000-0000-00009B010000}"/>
    <cellStyle name="STYL5 - Style6" xfId="407" xr:uid="{00000000-0005-0000-0000-00009C010000}"/>
    <cellStyle name="STYL6 - Style7" xfId="408" xr:uid="{00000000-0005-0000-0000-00009D010000}"/>
    <cellStyle name="STYL7 - Style8" xfId="409" xr:uid="{00000000-0005-0000-0000-00009E010000}"/>
    <cellStyle name="Style 1" xfId="410" xr:uid="{00000000-0005-0000-0000-00009F010000}"/>
    <cellStyle name="Style 1 2" xfId="411" xr:uid="{00000000-0005-0000-0000-0000A0010000}"/>
    <cellStyle name="STYLE1" xfId="412" xr:uid="{00000000-0005-0000-0000-0000A1010000}"/>
    <cellStyle name="STYLE1 2" xfId="413" xr:uid="{00000000-0005-0000-0000-0000A2010000}"/>
    <cellStyle name="sub heading" xfId="414" xr:uid="{00000000-0005-0000-0000-0000A3010000}"/>
    <cellStyle name="test" xfId="415" xr:uid="{00000000-0005-0000-0000-0000A4010000}"/>
    <cellStyle name="Title 2" xfId="416" xr:uid="{00000000-0005-0000-0000-0000A5010000}"/>
    <cellStyle name="Total 2" xfId="417" xr:uid="{00000000-0005-0000-0000-0000A6010000}"/>
    <cellStyle name="Total 3" xfId="418" xr:uid="{00000000-0005-0000-0000-0000A7010000}"/>
    <cellStyle name="Warning Text 2" xfId="419" xr:uid="{00000000-0005-0000-0000-0000A8010000}"/>
    <cellStyle name="WM_STANDARD" xfId="420" xr:uid="{00000000-0005-0000-0000-0000A9010000}"/>
    <cellStyle name="WMI_Default" xfId="421" xr:uid="{00000000-0005-0000-0000-0000AA010000}"/>
  </cellStyles>
  <dxfs count="0"/>
  <tableStyles count="1" defaultTableStyle="TableStyleMedium9" defaultPivotStyle="PivotStyleLight16">
    <tableStyle name="Invisible" pivot="0" table="0" count="0" xr9:uid="{2B0343ED-5011-440F-ABC0-54CFBAFCBB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14</xdr:row>
          <xdr:rowOff>180975</xdr:rowOff>
        </xdr:from>
        <xdr:to>
          <xdr:col>2</xdr:col>
          <xdr:colOff>361950</xdr:colOff>
          <xdr:row>16</xdr:row>
          <xdr:rowOff>19050</xdr:rowOff>
        </xdr:to>
        <xdr:sp macro="" textlink="">
          <xdr:nvSpPr>
            <xdr:cNvPr id="123905" name="CheckBox1" hidden="1">
              <a:extLst>
                <a:ext uri="{63B3BB69-23CF-44E3-9099-C40C66FF867C}">
                  <a14:compatExt spid="_x0000_s123905"/>
                </a:ext>
                <a:ext uri="{FF2B5EF4-FFF2-40B4-BE49-F238E27FC236}">
                  <a16:creationId xmlns:a16="http://schemas.microsoft.com/office/drawing/2014/main" id="{00000000-0008-0000-0100-000001E401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ickels\Desktop\Example%20of%20WM%20of%20SnoK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San%20Juan%20Sanitation\WUTC\SJS%20Income%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W_COMP\Rosario\2007%20rate%20case\Worksheets\070944%20Loan%20Recalcu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 val="Sch 4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row r="30">
          <cell r="J30">
            <v>2646.7177352709273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R21"/>
  <sheetViews>
    <sheetView showFormulas="1" tabSelected="1" zoomScaleNormal="100" workbookViewId="0"/>
  </sheetViews>
  <sheetFormatPr defaultRowHeight="15"/>
  <cols>
    <col min="1" max="1" width="6.21875" customWidth="1"/>
    <col min="2" max="2" width="5.44140625" customWidth="1"/>
    <col min="3" max="3" width="7" customWidth="1"/>
    <col min="5" max="5" width="5.77734375" customWidth="1"/>
    <col min="6" max="6" width="7.77734375" customWidth="1"/>
    <col min="7" max="7" width="6.6640625" customWidth="1"/>
    <col min="8" max="8" width="4.21875" customWidth="1"/>
  </cols>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15" customHeight="1">
      <c r="A15" s="918" t="s">
        <v>585</v>
      </c>
      <c r="B15" s="918"/>
      <c r="C15" s="918"/>
      <c r="D15" s="918"/>
      <c r="E15" s="918"/>
      <c r="F15" s="918"/>
      <c r="G15" s="918"/>
      <c r="H15" s="918"/>
    </row>
    <row r="16" spans="1:8" ht="16.5">
      <c r="C16" s="7"/>
    </row>
    <row r="17" spans="1:18" ht="15" customHeight="1">
      <c r="A17" s="918" t="s">
        <v>229</v>
      </c>
      <c r="B17" s="918"/>
      <c r="C17" s="918"/>
      <c r="D17" s="918"/>
      <c r="E17" s="918"/>
      <c r="F17" s="918"/>
      <c r="G17" s="918"/>
      <c r="H17" s="918"/>
    </row>
    <row r="18" spans="1:18" ht="15" customHeight="1">
      <c r="A18" s="918" t="s">
        <v>98</v>
      </c>
      <c r="B18" s="918"/>
      <c r="C18" s="918"/>
      <c r="D18" s="918"/>
      <c r="E18" s="918"/>
      <c r="F18" s="918"/>
      <c r="G18" s="918"/>
      <c r="H18" s="918"/>
    </row>
    <row r="19" spans="1:18" ht="16.5">
      <c r="C19" s="7"/>
    </row>
    <row r="20" spans="1:18" ht="15.75">
      <c r="A20" s="919" t="s">
        <v>1009</v>
      </c>
      <c r="B20" s="919"/>
      <c r="C20" s="919"/>
      <c r="D20" s="919"/>
      <c r="E20" s="919"/>
      <c r="F20" s="919"/>
      <c r="G20" s="919"/>
      <c r="H20" s="919"/>
      <c r="I20" s="3"/>
      <c r="J20" s="3"/>
      <c r="K20" s="3"/>
      <c r="L20" s="3"/>
      <c r="M20" s="3"/>
      <c r="N20" s="3"/>
      <c r="O20" s="3"/>
      <c r="P20" s="3"/>
      <c r="Q20" s="3"/>
      <c r="R20" s="3"/>
    </row>
    <row r="21" spans="1:18">
      <c r="A21" t="s">
        <v>202</v>
      </c>
    </row>
  </sheetData>
  <mergeCells count="4">
    <mergeCell ref="A15:H15"/>
    <mergeCell ref="A17:H17"/>
    <mergeCell ref="A18:H18"/>
    <mergeCell ref="A20:H20"/>
  </mergeCells>
  <printOptions horizontalCentered="1"/>
  <pageMargins left="0.7" right="0.7" top="0.75" bottom="0.75" header="0.3" footer="0.3"/>
  <pageSetup scale="71"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113"/>
  <sheetViews>
    <sheetView showGridLines="0" showOutlineSymbols="0" zoomScale="120" zoomScaleNormal="120" workbookViewId="0"/>
  </sheetViews>
  <sheetFormatPr defaultColWidth="13" defaultRowHeight="15"/>
  <cols>
    <col min="1" max="1" width="3.88671875" style="61" customWidth="1"/>
    <col min="2" max="2" width="26.109375" style="207" bestFit="1" customWidth="1"/>
    <col min="3" max="3" width="16.5546875" style="207" customWidth="1"/>
    <col min="4" max="4" width="16.5546875" style="207" hidden="1" customWidth="1"/>
    <col min="5" max="5" width="5.6640625" style="207" customWidth="1"/>
    <col min="6" max="6" width="4.44140625" style="61" customWidth="1"/>
    <col min="7" max="7" width="6.6640625" style="61" customWidth="1"/>
    <col min="8" max="8" width="11.6640625" style="61" customWidth="1"/>
    <col min="9" max="9" width="13.88671875" style="61" customWidth="1"/>
    <col min="10" max="10" width="10.21875" style="61" customWidth="1"/>
    <col min="11" max="11" width="11.88671875" style="61" bestFit="1" customWidth="1"/>
    <col min="12" max="13" width="14.21875" style="61" customWidth="1"/>
    <col min="14" max="14" width="4.88671875" style="61" customWidth="1"/>
    <col min="15" max="15" width="4.88671875" style="207" customWidth="1"/>
    <col min="16" max="16" width="31.44140625" style="207" customWidth="1"/>
    <col min="17" max="17" width="13" style="62"/>
    <col min="18" max="18" width="10.88671875" style="66" customWidth="1"/>
    <col min="19" max="19" width="13" style="61"/>
    <col min="20" max="20" width="10.44140625" style="61" customWidth="1"/>
    <col min="21" max="21" width="12.109375" style="61" customWidth="1"/>
    <col min="22" max="22" width="13" style="61"/>
    <col min="23" max="24" width="13.88671875" style="61" customWidth="1"/>
    <col min="25" max="25" width="12.44140625" style="61" customWidth="1"/>
    <col min="26" max="26" width="13" style="61"/>
    <col min="27" max="27" width="12.21875" style="61" customWidth="1"/>
    <col min="28" max="29" width="13" style="61"/>
    <col min="30" max="30" width="12.88671875" style="61" customWidth="1"/>
    <col min="31" max="31" width="13.44140625" style="61" customWidth="1"/>
    <col min="32" max="32" width="16.109375" style="61" customWidth="1"/>
    <col min="33" max="33" width="14.109375" style="61" customWidth="1"/>
    <col min="34" max="34" width="12.88671875" style="61" customWidth="1"/>
    <col min="35" max="35" width="13" style="61"/>
    <col min="36" max="36" width="10.88671875" style="61" customWidth="1"/>
    <col min="37" max="37" width="12.88671875" style="61" customWidth="1"/>
    <col min="38" max="49" width="11.88671875" style="61" customWidth="1"/>
    <col min="50" max="16384" width="13" style="61"/>
  </cols>
  <sheetData>
    <row r="1" spans="1:35" s="57" customFormat="1" ht="15.75" thickBot="1">
      <c r="A1" s="52"/>
      <c r="B1" s="53"/>
      <c r="C1" s="53"/>
      <c r="D1" s="53"/>
      <c r="E1" s="53"/>
      <c r="F1" s="53"/>
      <c r="G1" s="53"/>
      <c r="H1" s="53"/>
      <c r="I1" s="54"/>
      <c r="J1" s="54"/>
      <c r="K1" s="54"/>
      <c r="L1" s="54"/>
      <c r="M1" s="54"/>
      <c r="N1" s="54"/>
      <c r="O1" s="53"/>
      <c r="P1" s="53"/>
      <c r="Q1" s="55"/>
      <c r="R1" s="56"/>
    </row>
    <row r="2" spans="1:35" ht="19.5" thickBot="1">
      <c r="A2" s="52"/>
      <c r="B2" s="923" t="s">
        <v>233</v>
      </c>
      <c r="C2" s="923"/>
      <c r="D2" s="52"/>
      <c r="E2" s="52"/>
      <c r="F2" s="58" t="s">
        <v>234</v>
      </c>
      <c r="G2" s="59"/>
      <c r="H2" s="59"/>
      <c r="I2" s="60" t="s">
        <v>235</v>
      </c>
      <c r="J2" s="59"/>
      <c r="K2" s="59"/>
      <c r="L2" s="59"/>
      <c r="M2" s="58" t="s">
        <v>234</v>
      </c>
      <c r="O2" s="52"/>
      <c r="P2" s="52"/>
      <c r="R2" s="230" t="s">
        <v>236</v>
      </c>
      <c r="S2" s="229"/>
      <c r="T2" s="228"/>
      <c r="AF2" s="920" t="s">
        <v>237</v>
      </c>
      <c r="AG2" s="921"/>
      <c r="AH2" s="921"/>
      <c r="AI2" s="922"/>
    </row>
    <row r="3" spans="1:35" ht="15.75">
      <c r="A3" s="52"/>
      <c r="B3" s="52"/>
      <c r="C3" s="52"/>
      <c r="D3" s="52"/>
      <c r="E3" s="52"/>
      <c r="F3" s="63"/>
      <c r="G3" s="64"/>
      <c r="K3" s="65" t="s">
        <v>238</v>
      </c>
      <c r="M3" s="65" t="s">
        <v>239</v>
      </c>
      <c r="O3" s="52"/>
      <c r="P3" s="52"/>
      <c r="R3" s="61"/>
      <c r="T3" s="61" t="s">
        <v>240</v>
      </c>
      <c r="V3" s="66" t="s">
        <v>240</v>
      </c>
      <c r="W3" s="66" t="s">
        <v>240</v>
      </c>
      <c r="X3" s="66" t="s">
        <v>240</v>
      </c>
      <c r="Y3" s="66" t="s">
        <v>241</v>
      </c>
      <c r="Z3" s="66" t="s">
        <v>241</v>
      </c>
      <c r="AA3" s="66" t="s">
        <v>241</v>
      </c>
      <c r="AB3" s="66" t="s">
        <v>241</v>
      </c>
      <c r="AC3" s="66" t="s">
        <v>241</v>
      </c>
      <c r="AD3" s="66" t="s">
        <v>241</v>
      </c>
      <c r="AE3" s="66" t="s">
        <v>242</v>
      </c>
      <c r="AF3" s="66" t="s">
        <v>183</v>
      </c>
      <c r="AG3" s="66" t="s">
        <v>243</v>
      </c>
      <c r="AH3" s="66"/>
    </row>
    <row r="4" spans="1:35" ht="19.5" thickBot="1">
      <c r="A4" s="52"/>
      <c r="B4" s="67" t="s">
        <v>244</v>
      </c>
      <c r="C4" s="227"/>
      <c r="D4" s="68"/>
      <c r="E4" s="52"/>
      <c r="F4" s="69"/>
      <c r="G4" s="64"/>
      <c r="H4" s="70" t="s">
        <v>245</v>
      </c>
      <c r="I4" s="70" t="s">
        <v>246</v>
      </c>
      <c r="J4" s="70" t="s">
        <v>247</v>
      </c>
      <c r="K4" s="70" t="s">
        <v>248</v>
      </c>
      <c r="L4" s="70" t="s">
        <v>249</v>
      </c>
      <c r="M4" s="70" t="s">
        <v>250</v>
      </c>
      <c r="O4" s="71"/>
      <c r="P4" s="52"/>
      <c r="R4" s="61"/>
      <c r="T4" s="66" t="s">
        <v>251</v>
      </c>
      <c r="V4" s="66" t="s">
        <v>252</v>
      </c>
      <c r="W4" s="66" t="s">
        <v>253</v>
      </c>
      <c r="X4" s="66" t="s">
        <v>254</v>
      </c>
      <c r="Y4" s="66" t="s">
        <v>255</v>
      </c>
      <c r="Z4" s="66" t="s">
        <v>255</v>
      </c>
      <c r="AA4" s="66" t="s">
        <v>255</v>
      </c>
      <c r="AB4" s="66" t="s">
        <v>253</v>
      </c>
      <c r="AC4" s="66" t="s">
        <v>251</v>
      </c>
      <c r="AD4" s="66" t="s">
        <v>251</v>
      </c>
      <c r="AE4" s="66" t="s">
        <v>256</v>
      </c>
      <c r="AF4" s="66" t="s">
        <v>257</v>
      </c>
      <c r="AG4" s="66" t="s">
        <v>258</v>
      </c>
      <c r="AH4" s="66" t="s">
        <v>259</v>
      </c>
      <c r="AI4" s="66" t="s">
        <v>260</v>
      </c>
    </row>
    <row r="5" spans="1:35" ht="15.75">
      <c r="A5" s="52"/>
      <c r="B5" s="72" t="s">
        <v>261</v>
      </c>
      <c r="C5" s="73">
        <f>+Operations!L26</f>
        <v>7927922.9667541925</v>
      </c>
      <c r="D5" s="68"/>
      <c r="E5" s="52"/>
      <c r="F5" s="74" t="s">
        <v>262</v>
      </c>
      <c r="G5" s="75"/>
      <c r="H5" s="75"/>
      <c r="I5" s="70" t="s">
        <v>263</v>
      </c>
      <c r="J5" s="70" t="s">
        <v>183</v>
      </c>
      <c r="K5" s="76" t="s">
        <v>22</v>
      </c>
      <c r="L5" s="76" t="s">
        <v>264</v>
      </c>
      <c r="M5" s="76" t="s">
        <v>183</v>
      </c>
      <c r="O5" s="77"/>
      <c r="P5" s="52"/>
      <c r="R5" s="78"/>
      <c r="T5" s="66" t="s">
        <v>265</v>
      </c>
      <c r="U5" s="66" t="s">
        <v>266</v>
      </c>
      <c r="V5" s="66" t="s">
        <v>267</v>
      </c>
      <c r="W5" s="66" t="s">
        <v>268</v>
      </c>
      <c r="X5" s="66" t="s">
        <v>269</v>
      </c>
      <c r="Y5" s="66" t="s">
        <v>92</v>
      </c>
      <c r="Z5" s="66" t="s">
        <v>270</v>
      </c>
      <c r="AA5" s="66" t="s">
        <v>96</v>
      </c>
      <c r="AB5" s="66" t="s">
        <v>271</v>
      </c>
      <c r="AC5" s="66" t="s">
        <v>265</v>
      </c>
      <c r="AD5" s="66" t="s">
        <v>272</v>
      </c>
      <c r="AE5" s="66" t="s">
        <v>73</v>
      </c>
      <c r="AF5" s="66" t="s">
        <v>273</v>
      </c>
      <c r="AG5" s="66" t="s">
        <v>273</v>
      </c>
      <c r="AH5" s="66" t="s">
        <v>73</v>
      </c>
      <c r="AI5" s="66" t="s">
        <v>242</v>
      </c>
    </row>
    <row r="6" spans="1:35" ht="15.75">
      <c r="A6" s="52"/>
      <c r="B6" s="72" t="s">
        <v>274</v>
      </c>
      <c r="C6" s="226">
        <f>+Operations!N80</f>
        <v>8204181.7659279015</v>
      </c>
      <c r="D6" s="68"/>
      <c r="E6" s="52"/>
      <c r="F6" s="79" t="s">
        <v>275</v>
      </c>
      <c r="G6" s="75"/>
      <c r="H6" s="75"/>
      <c r="I6" s="80"/>
      <c r="J6" s="81" t="s">
        <v>196</v>
      </c>
      <c r="K6" s="82"/>
      <c r="L6" s="81" t="s">
        <v>276</v>
      </c>
      <c r="M6" s="81" t="s">
        <v>277</v>
      </c>
      <c r="O6" s="77"/>
      <c r="P6" s="52"/>
      <c r="R6" s="221">
        <v>1</v>
      </c>
      <c r="S6" s="220">
        <f>Revenue/Investment*100</f>
        <v>257.82236874031048</v>
      </c>
      <c r="T6" s="219">
        <f>EXP(y_inter1-(slope*LN(+S6)))</f>
        <v>6.8666680245133556</v>
      </c>
      <c r="U6" s="218">
        <f>(+S6*T6/100)/100</f>
        <v>0.17703806154333818</v>
      </c>
      <c r="V6" s="218">
        <f>regDebt_weighted</f>
        <v>3.5860000000000003E-2</v>
      </c>
      <c r="W6" s="218">
        <f>+U6-V6</f>
        <v>0.14117806154333817</v>
      </c>
      <c r="X6" s="218">
        <f>+((W6*(1-0.34))-Pfd_weighted)/Equity_percent</f>
        <v>0.2528706994726837</v>
      </c>
      <c r="Y6" s="218">
        <f>X6*equityP</f>
        <v>0.13987528837099486</v>
      </c>
      <c r="Z6" s="218">
        <f>+Y6/(1-taxrate)</f>
        <v>0.17705732705189223</v>
      </c>
      <c r="AA6" s="218">
        <f>debtP*Debt_Rate</f>
        <v>2.2990180449074197E-2</v>
      </c>
      <c r="AB6" s="218">
        <f>AA6+Z6</f>
        <v>0.20004750750096642</v>
      </c>
      <c r="AC6" s="218">
        <f>AB6/(S6/100)</f>
        <v>7.7591214632917557E-2</v>
      </c>
      <c r="AD6" s="218">
        <f>1-AC6</f>
        <v>0.92240878536708248</v>
      </c>
      <c r="AE6" s="215">
        <f>expenses/(AD6)</f>
        <v>8894301.4161155876</v>
      </c>
      <c r="AF6" s="217">
        <f>+AE6-Revenue</f>
        <v>966378.44936139509</v>
      </c>
      <c r="AG6" s="216">
        <f ca="1">+AF6/$J$49</f>
        <v>1066657.4958295189</v>
      </c>
      <c r="AH6" s="216">
        <f ca="1">+AG6*$J$47</f>
        <v>25386.448400742553</v>
      </c>
      <c r="AI6" s="215">
        <f ca="1">ROUND(+AH6+AE6,5)</f>
        <v>8919687.8645200003</v>
      </c>
    </row>
    <row r="7" spans="1:35" ht="15.75">
      <c r="A7" s="52"/>
      <c r="B7" s="72" t="s">
        <v>130</v>
      </c>
      <c r="C7" s="226">
        <f>+'WP-1 - Summary Depr'!P24</f>
        <v>3074955.4452893608</v>
      </c>
      <c r="D7" s="68"/>
      <c r="E7" s="52"/>
      <c r="F7" s="225">
        <v>1</v>
      </c>
      <c r="G7" s="75"/>
      <c r="H7" s="83" t="s">
        <v>261</v>
      </c>
      <c r="I7" s="84">
        <f>IF(A65=TRUE,C5,0)</f>
        <v>7927922.9667541925</v>
      </c>
      <c r="J7" s="84">
        <f ca="1">(+$I8/($R51))-I7</f>
        <v>897573.76939888671</v>
      </c>
      <c r="K7" s="84">
        <f ca="1">+I7+J7</f>
        <v>8825496.7361530792</v>
      </c>
      <c r="L7" s="84">
        <f ca="1">((+J7/J49*K35)-J7)</f>
        <v>23578.971776287537</v>
      </c>
      <c r="M7" s="84">
        <f ca="1">IFERROR(+K7+L7,0.00001)</f>
        <v>8849075.7079293672</v>
      </c>
      <c r="O7" s="77"/>
      <c r="P7" s="52"/>
      <c r="R7" s="85">
        <v>2</v>
      </c>
      <c r="S7" s="86">
        <f>Revenue/Investment*100</f>
        <v>257.82236874031048</v>
      </c>
      <c r="T7" s="87">
        <f>EXP(y_inter1-(slope*LN(+S7)))</f>
        <v>6.8666680245133556</v>
      </c>
      <c r="U7" s="88">
        <f>(+S7*T7/100)/100</f>
        <v>0.17703806154333818</v>
      </c>
      <c r="V7" s="88">
        <f>regDebt_weighted</f>
        <v>3.5860000000000003E-2</v>
      </c>
      <c r="W7" s="88">
        <f>+U7-V7</f>
        <v>0.14117806154333817</v>
      </c>
      <c r="X7" s="88">
        <f>+((W7*(1-0.34))-Pfd_weighted)/Equity_percent</f>
        <v>0.2528706994726837</v>
      </c>
      <c r="Y7" s="88">
        <f>X7*equityP</f>
        <v>0.13987528837099486</v>
      </c>
      <c r="Z7" s="88">
        <f>+Y7/(1-taxrate)</f>
        <v>0.17705732705189223</v>
      </c>
      <c r="AA7" s="88">
        <f>debtP*Debt_Rate</f>
        <v>2.2990180449074197E-2</v>
      </c>
      <c r="AB7" s="88">
        <f>AA7+Z7</f>
        <v>0.20004750750096642</v>
      </c>
      <c r="AC7" s="88">
        <f>AB7/(S7/100)</f>
        <v>7.7591214632917557E-2</v>
      </c>
      <c r="AD7" s="88">
        <f>1-AC7</f>
        <v>0.92240878536708248</v>
      </c>
      <c r="AE7" s="89">
        <f>expenses/(AD7)</f>
        <v>8894301.4161155876</v>
      </c>
      <c r="AF7" s="90">
        <f>+AE7-Revenue</f>
        <v>966378.44936139509</v>
      </c>
      <c r="AG7" s="91">
        <f ca="1">+AF7/$J$49</f>
        <v>1066657.4958295189</v>
      </c>
      <c r="AH7" s="91">
        <f ca="1">+AG7*$J$47</f>
        <v>25386.448400742553</v>
      </c>
      <c r="AI7" s="89">
        <f ca="1">ROUND(+AH7+AE7,5)</f>
        <v>8919687.8645200003</v>
      </c>
    </row>
    <row r="8" spans="1:35" ht="15.75">
      <c r="A8" s="52"/>
      <c r="B8" s="72" t="s">
        <v>278</v>
      </c>
      <c r="C8" s="224">
        <f>+'WP-5 - Capital Structure'!H9</f>
        <v>0.44685054985540207</v>
      </c>
      <c r="D8" s="68"/>
      <c r="E8" s="52"/>
      <c r="F8" s="92">
        <f t="shared" ref="F8:F49" si="0">+F7+1</f>
        <v>2</v>
      </c>
      <c r="G8" s="75"/>
      <c r="H8" s="83" t="s">
        <v>274</v>
      </c>
      <c r="I8" s="84">
        <f>IF(A65=TRUE,C6,0)</f>
        <v>8204181.7659279015</v>
      </c>
      <c r="J8" s="64"/>
      <c r="K8" s="84">
        <f>+I8</f>
        <v>8204181.7659279015</v>
      </c>
      <c r="L8" s="84">
        <f ca="1">+L7</f>
        <v>23578.971776287537</v>
      </c>
      <c r="M8" s="84">
        <f ca="1">IFERROR(+K8+L8,0.00001)</f>
        <v>8227760.7377041895</v>
      </c>
      <c r="O8" s="77"/>
      <c r="P8" s="52"/>
      <c r="R8" s="93">
        <v>3</v>
      </c>
      <c r="S8" s="86">
        <f>Revenue/Investment*100</f>
        <v>257.82236874031048</v>
      </c>
      <c r="T8" s="87">
        <f>EXP(y_inter1-(slope*LN(+S8)))</f>
        <v>6.8666680245133556</v>
      </c>
      <c r="U8" s="88">
        <f>(+S8*T8/100)/100</f>
        <v>0.17703806154333818</v>
      </c>
      <c r="V8" s="88">
        <f>regDebt_weighted</f>
        <v>3.5860000000000003E-2</v>
      </c>
      <c r="W8" s="88">
        <f>+U8-V8</f>
        <v>0.14117806154333817</v>
      </c>
      <c r="X8" s="88">
        <f>+((W8*(1-0.34))-Pfd_weighted)/Equity_percent</f>
        <v>0.2528706994726837</v>
      </c>
      <c r="Y8" s="88">
        <f>X8*equityP</f>
        <v>0.13987528837099486</v>
      </c>
      <c r="Z8" s="88">
        <f>+Y8/(1-taxrate)</f>
        <v>0.17705732705189223</v>
      </c>
      <c r="AA8" s="88">
        <f>debtP*Debt_Rate</f>
        <v>2.2990180449074197E-2</v>
      </c>
      <c r="AB8" s="88">
        <f>AA8+Z8</f>
        <v>0.20004750750096642</v>
      </c>
      <c r="AC8" s="88">
        <f>AB8/(S8/100)</f>
        <v>7.7591214632917557E-2</v>
      </c>
      <c r="AD8" s="88">
        <f>1-AC8</f>
        <v>0.92240878536708248</v>
      </c>
      <c r="AE8" s="89">
        <f>expenses/(AD8)</f>
        <v>8894301.4161155876</v>
      </c>
      <c r="AF8" s="90">
        <f>+AE8-Revenue</f>
        <v>966378.44936139509</v>
      </c>
      <c r="AG8" s="91">
        <f ca="1">+AF8/$J$49</f>
        <v>1066657.4958295189</v>
      </c>
      <c r="AH8" s="91">
        <f ca="1">+AG8*$J$47</f>
        <v>25386.448400742553</v>
      </c>
      <c r="AI8" s="89">
        <f ca="1">ROUND(+AH8+AE8,5)</f>
        <v>8919687.8645200003</v>
      </c>
    </row>
    <row r="9" spans="1:35" ht="15.75">
      <c r="A9" s="52"/>
      <c r="B9" s="72" t="s">
        <v>279</v>
      </c>
      <c r="C9" s="235">
        <f>+'WP-5 - Capital Structure'!F12</f>
        <v>5.1449372629201573E-2</v>
      </c>
      <c r="D9" s="68"/>
      <c r="E9" s="52"/>
      <c r="F9" s="92">
        <f t="shared" si="0"/>
        <v>3</v>
      </c>
      <c r="G9" s="75"/>
      <c r="H9" s="83" t="s">
        <v>280</v>
      </c>
      <c r="I9" s="223">
        <f>+I7-I8</f>
        <v>-276258.79917370901</v>
      </c>
      <c r="J9" s="64"/>
      <c r="K9" s="223">
        <f ca="1">+K7-K8</f>
        <v>621314.97022517771</v>
      </c>
      <c r="L9" s="75"/>
      <c r="M9" s="222">
        <f ca="1">+M7-M8</f>
        <v>621314.97022517771</v>
      </c>
      <c r="O9" s="77"/>
      <c r="P9" s="52"/>
      <c r="R9" s="94">
        <v>4</v>
      </c>
      <c r="S9" s="86">
        <f>Revenue/Investment*100</f>
        <v>257.82236874031048</v>
      </c>
      <c r="T9" s="87">
        <f>EXP(y_inter1-(slope*LN(+S9)))</f>
        <v>6.8666680245133556</v>
      </c>
      <c r="U9" s="88">
        <f>(+S9*T9/100)/100</f>
        <v>0.17703806154333818</v>
      </c>
      <c r="V9" s="88">
        <f>regDebt_weighted</f>
        <v>3.5860000000000003E-2</v>
      </c>
      <c r="W9" s="88">
        <f>+U9-V9</f>
        <v>0.14117806154333817</v>
      </c>
      <c r="X9" s="88">
        <f>+((W9*(1-0.34))-Pfd_weighted)/Equity_percent</f>
        <v>0.2528706994726837</v>
      </c>
      <c r="Y9" s="88">
        <f>X9*equityP</f>
        <v>0.13987528837099486</v>
      </c>
      <c r="Z9" s="88">
        <f>+Y9/(1-taxrate)</f>
        <v>0.17705732705189223</v>
      </c>
      <c r="AA9" s="88">
        <f>debtP*Debt_Rate</f>
        <v>2.2990180449074197E-2</v>
      </c>
      <c r="AB9" s="88">
        <f>AA9+Z9</f>
        <v>0.20004750750096642</v>
      </c>
      <c r="AC9" s="88">
        <f>AB9/(S9/100)</f>
        <v>7.7591214632917557E-2</v>
      </c>
      <c r="AD9" s="88">
        <f>1-AC9</f>
        <v>0.92240878536708248</v>
      </c>
      <c r="AE9" s="89">
        <f>expenses/(AD9)</f>
        <v>8894301.4161155876</v>
      </c>
      <c r="AF9" s="90">
        <f>+AE9-Revenue</f>
        <v>966378.44936139509</v>
      </c>
      <c r="AG9" s="91">
        <f ca="1">+AF9/$J$49</f>
        <v>1066657.4958295189</v>
      </c>
      <c r="AH9" s="91">
        <f ca="1">+AG9*$J$47</f>
        <v>25386.448400742553</v>
      </c>
      <c r="AI9" s="89">
        <f ca="1">ROUND(+AH9+AE9,5)</f>
        <v>8919687.8645200003</v>
      </c>
    </row>
    <row r="10" spans="1:35" ht="15.75">
      <c r="A10" s="52"/>
      <c r="B10" s="95" t="s">
        <v>281</v>
      </c>
      <c r="C10" s="224">
        <v>0.21</v>
      </c>
      <c r="D10" s="68"/>
      <c r="E10" s="52"/>
      <c r="F10" s="92">
        <f t="shared" si="0"/>
        <v>4</v>
      </c>
      <c r="G10" s="75"/>
      <c r="H10" s="75"/>
      <c r="I10" s="64"/>
      <c r="J10" s="64"/>
      <c r="K10" s="84"/>
      <c r="L10" s="75"/>
      <c r="M10" s="75"/>
      <c r="N10" s="75"/>
      <c r="O10" s="77"/>
      <c r="P10" s="52"/>
      <c r="R10" s="66" t="s">
        <v>282</v>
      </c>
    </row>
    <row r="11" spans="1:35" ht="15.75">
      <c r="A11" s="52"/>
      <c r="B11" s="72" t="s">
        <v>283</v>
      </c>
      <c r="C11" s="214">
        <v>1.7500000000000002E-2</v>
      </c>
      <c r="D11" s="68"/>
      <c r="E11" s="52"/>
      <c r="F11" s="92">
        <f t="shared" si="0"/>
        <v>5</v>
      </c>
      <c r="G11" s="75"/>
      <c r="H11" s="83" t="s">
        <v>93</v>
      </c>
      <c r="I11" s="84">
        <f>+K11</f>
        <v>70693.780560065701</v>
      </c>
      <c r="J11" s="64"/>
      <c r="K11" s="84">
        <f>+M27</f>
        <v>70693.780560065701</v>
      </c>
      <c r="L11" s="75"/>
      <c r="M11" s="84">
        <f>+K11</f>
        <v>70693.780560065701</v>
      </c>
      <c r="O11" s="77"/>
      <c r="P11" s="52"/>
      <c r="R11" s="221">
        <v>1</v>
      </c>
      <c r="S11" s="220">
        <f ca="1">IF((AI6/Investment*100)&gt;0,(AI6/Investment*100),0)</f>
        <v>290.07535306517707</v>
      </c>
      <c r="T11" s="219">
        <f ca="1">EXP(y_inter1-(slope*LN(S11)))</f>
        <v>6.3350321510689716</v>
      </c>
      <c r="U11" s="218">
        <f ca="1">(+S11*T11/100)/100</f>
        <v>0.18376366879005801</v>
      </c>
      <c r="V11" s="218">
        <f>regDebt_weighted</f>
        <v>3.5860000000000003E-2</v>
      </c>
      <c r="W11" s="218">
        <f ca="1">+U11-V11</f>
        <v>0.14790366879005801</v>
      </c>
      <c r="X11" s="218">
        <f ca="1">+((W11*(1-0.34))-Pfd_weighted)/Equity_percent</f>
        <v>0.26577448081813454</v>
      </c>
      <c r="Y11" s="218">
        <f ca="1">+X11*equityP</f>
        <v>0.1470130079270171</v>
      </c>
      <c r="Z11" s="218">
        <f ca="1">+Y11/(1-taxrate)</f>
        <v>0.18609241509749</v>
      </c>
      <c r="AA11" s="218">
        <f>debtP*Debt_Rate</f>
        <v>2.2990180449074197E-2</v>
      </c>
      <c r="AB11" s="218">
        <f ca="1">+AA11+Z11</f>
        <v>0.20908259554656419</v>
      </c>
      <c r="AC11" s="218">
        <f ca="1">+AB11/(S11/100)</f>
        <v>7.2078717939054057E-2</v>
      </c>
      <c r="AD11" s="218">
        <f ca="1">1-AC11</f>
        <v>0.92792128206094593</v>
      </c>
      <c r="AE11" s="215">
        <f ca="1">expenses/(AD11)</f>
        <v>8841463.0901730414</v>
      </c>
      <c r="AF11" s="217">
        <f ca="1">+AE11-Revenue</f>
        <v>913540.12341884896</v>
      </c>
      <c r="AG11" s="216">
        <f ca="1">+AF11/$J$49</f>
        <v>1008336.2486297863</v>
      </c>
      <c r="AH11" s="216">
        <f ca="1">+AG11*$J$47</f>
        <v>23998.402717388915</v>
      </c>
      <c r="AI11" s="215">
        <f ca="1">ROUND(+AH11+AE11,5)</f>
        <v>8865461.4928900003</v>
      </c>
    </row>
    <row r="12" spans="1:35" ht="15.75">
      <c r="A12" s="52"/>
      <c r="B12" s="72" t="s">
        <v>12</v>
      </c>
      <c r="C12" s="214">
        <v>5.1000000000000004E-3</v>
      </c>
      <c r="D12" s="68"/>
      <c r="E12" s="52"/>
      <c r="F12" s="92">
        <f t="shared" si="0"/>
        <v>6</v>
      </c>
      <c r="G12" s="75"/>
      <c r="H12" s="83" t="s">
        <v>284</v>
      </c>
      <c r="I12" s="84">
        <f ca="1">IF(I14&lt;0,0,+J38*I14)</f>
        <v>0</v>
      </c>
      <c r="J12" s="84">
        <f ca="1">+K12-I12</f>
        <v>115630.44982967351</v>
      </c>
      <c r="K12" s="84">
        <f ca="1">+(K9-K11)*taxrate</f>
        <v>115630.44982967351</v>
      </c>
      <c r="L12" s="75"/>
      <c r="M12" s="84">
        <f ca="1">+K12</f>
        <v>115630.44982967351</v>
      </c>
      <c r="O12" s="77"/>
      <c r="P12" s="52"/>
      <c r="R12" s="85">
        <v>2</v>
      </c>
      <c r="S12" s="86">
        <f ca="1">IF((AI7/Investment*100)&gt;0,(AI7/Investment*100),0)</f>
        <v>290.07535306517707</v>
      </c>
      <c r="T12" s="96">
        <f ca="1">EXP(y_inter2-(slope*LN(+S12)))</f>
        <v>6.2448984904214182</v>
      </c>
      <c r="U12" s="88">
        <f ca="1">(+S12*T12/100)/100</f>
        <v>0.18114911344651841</v>
      </c>
      <c r="V12" s="88">
        <f>regDebt_weighted</f>
        <v>3.5860000000000003E-2</v>
      </c>
      <c r="W12" s="88">
        <f ca="1">+U12-V12</f>
        <v>0.1452891134465184</v>
      </c>
      <c r="X12" s="88">
        <f ca="1">+((W12*(1-0.34))-Pfd_weighted)/Equity_percent</f>
        <v>0.26075818277529694</v>
      </c>
      <c r="Y12" s="88">
        <f ca="1">+X12*equityP</f>
        <v>0.14423824542286007</v>
      </c>
      <c r="Z12" s="88">
        <f ca="1">+Y12/(1-taxrate)</f>
        <v>0.18258005749729123</v>
      </c>
      <c r="AA12" s="88">
        <f>debtP*Debt_Rate</f>
        <v>2.2990180449074197E-2</v>
      </c>
      <c r="AB12" s="88">
        <f ca="1">+AA12+Z12</f>
        <v>0.20557023794636542</v>
      </c>
      <c r="AC12" s="88">
        <f ca="1">+AB12/(S12/100)</f>
        <v>7.0867874769138278E-2</v>
      </c>
      <c r="AD12" s="88">
        <f ca="1">1-AC12</f>
        <v>0.92913212523086175</v>
      </c>
      <c r="AE12" s="89">
        <f ca="1">expenses/(AD12)</f>
        <v>8829940.9127516784</v>
      </c>
      <c r="AF12" s="90">
        <f ca="1">+AE12-Revenue</f>
        <v>902017.94599748589</v>
      </c>
      <c r="AG12" s="91">
        <f ca="1">+AF12/$J$49</f>
        <v>995618.43924269138</v>
      </c>
      <c r="AH12" s="91">
        <f ca="1">+AG12*$J$47</f>
        <v>23695.718853976057</v>
      </c>
      <c r="AI12" s="89">
        <f ca="1">ROUND(+AH12+AE12,5)</f>
        <v>8853636.6316100005</v>
      </c>
    </row>
    <row r="13" spans="1:35" ht="15.75">
      <c r="A13" s="52"/>
      <c r="B13" s="72" t="s">
        <v>285</v>
      </c>
      <c r="C13" s="214">
        <v>0</v>
      </c>
      <c r="D13" s="68"/>
      <c r="E13" s="52"/>
      <c r="F13" s="92">
        <f t="shared" si="0"/>
        <v>7</v>
      </c>
      <c r="G13" s="75"/>
      <c r="H13" s="75"/>
      <c r="I13" s="64"/>
      <c r="J13" s="64"/>
      <c r="K13" s="84"/>
      <c r="L13" s="75"/>
      <c r="M13" s="75"/>
      <c r="O13" s="77"/>
      <c r="P13" s="52"/>
      <c r="R13" s="93">
        <v>3</v>
      </c>
      <c r="S13" s="86">
        <f ca="1">IF((AI8/Investment*100)&gt;0,(AI8/Investment*100),0)</f>
        <v>290.07535306517707</v>
      </c>
      <c r="T13" s="87">
        <f ca="1">EXP(y_inter3-(slope*LN(S13)))</f>
        <v>6.1841829107325283</v>
      </c>
      <c r="U13" s="88">
        <f ca="1">(+S13*T13/100)/100</f>
        <v>0.17938790412503727</v>
      </c>
      <c r="V13" s="88">
        <f>regDebt_weighted</f>
        <v>3.5860000000000003E-2</v>
      </c>
      <c r="W13" s="88">
        <f ca="1">+U13-V13</f>
        <v>0.14352790412503727</v>
      </c>
      <c r="X13" s="88">
        <f ca="1">+((W13*(1-0.34))-Pfd_weighted)/Equity_percent</f>
        <v>0.25737911837943195</v>
      </c>
      <c r="Y13" s="88">
        <f ca="1">+X13*equityP</f>
        <v>0.14236911781028416</v>
      </c>
      <c r="Z13" s="88">
        <f ca="1">+Y13/(1-taxrate)</f>
        <v>0.18021407317757487</v>
      </c>
      <c r="AA13" s="88">
        <f>debtP*Debt_Rate</f>
        <v>2.2990180449074197E-2</v>
      </c>
      <c r="AB13" s="88">
        <f ca="1">+AA13+Z13</f>
        <v>0.20320425362664907</v>
      </c>
      <c r="AC13" s="88">
        <f ca="1">+AB13/(S13/100)</f>
        <v>7.0052230042788599E-2</v>
      </c>
      <c r="AD13" s="88">
        <f ca="1">1-AC13</f>
        <v>0.9299477699572114</v>
      </c>
      <c r="AE13" s="89">
        <f ca="1">expenses/(AD13)</f>
        <v>8822196.2899114117</v>
      </c>
      <c r="AF13" s="90">
        <f ca="1">+AE13-Revenue</f>
        <v>894273.32315721922</v>
      </c>
      <c r="AG13" s="91">
        <f ca="1">+AF13/$J$49</f>
        <v>987070.17328083981</v>
      </c>
      <c r="AH13" s="91">
        <f ca="1">+AG13*$J$47</f>
        <v>23492.270124083989</v>
      </c>
      <c r="AI13" s="89">
        <f ca="1">ROUND(+AH13+AE13,5)</f>
        <v>8845688.5600400008</v>
      </c>
    </row>
    <row r="14" spans="1:35" ht="16.5" thickBot="1">
      <c r="A14" s="52"/>
      <c r="B14" s="97" t="s">
        <v>286</v>
      </c>
      <c r="C14" s="214">
        <v>1.1999999999999999E-3</v>
      </c>
      <c r="D14" s="68"/>
      <c r="E14" s="52"/>
      <c r="F14" s="92">
        <f t="shared" si="0"/>
        <v>8</v>
      </c>
      <c r="G14" s="75"/>
      <c r="H14" s="75" t="s">
        <v>101</v>
      </c>
      <c r="I14" s="213">
        <f ca="1">+I9-SUM(I11:I13)</f>
        <v>-346952.57973377471</v>
      </c>
      <c r="J14" s="64"/>
      <c r="K14" s="213">
        <f ca="1">+K9-SUM(K11:K13)</f>
        <v>434990.73983543849</v>
      </c>
      <c r="L14" s="75"/>
      <c r="M14" s="213">
        <f ca="1">+M9-SUM(M11:M13)</f>
        <v>434990.73983543849</v>
      </c>
      <c r="O14" s="77"/>
      <c r="P14" s="52"/>
      <c r="R14" s="94">
        <v>4</v>
      </c>
      <c r="S14" s="86">
        <f ca="1">IF((AI9/Investment*100)&gt;0,(AI9/Investment*100),0)</f>
        <v>290.07535306517707</v>
      </c>
      <c r="T14" s="98">
        <f ca="1">EXP(y_inter4-(slope*LN(S14)))</f>
        <v>6.1453450261874467</v>
      </c>
      <c r="U14" s="88">
        <f ca="1">(+S14*T14/100)/100</f>
        <v>0.17826131281786534</v>
      </c>
      <c r="V14" s="88">
        <f>regDebt_weighted</f>
        <v>3.5860000000000003E-2</v>
      </c>
      <c r="W14" s="88">
        <f ca="1">+U14-V14</f>
        <v>0.14240131281786533</v>
      </c>
      <c r="X14" s="88">
        <f ca="1">+((W14*(1-0.34))-Pfd_weighted)/Equity_percent</f>
        <v>0.25521763505753231</v>
      </c>
      <c r="Y14" s="88">
        <f ca="1">+X14*equityP</f>
        <v>0.14117349449927866</v>
      </c>
      <c r="Z14" s="88">
        <f ca="1">+Y14/(1-taxrate)</f>
        <v>0.17870062594845398</v>
      </c>
      <c r="AA14" s="88">
        <f>debtP*Debt_Rate</f>
        <v>2.2990180449074197E-2</v>
      </c>
      <c r="AB14" s="88">
        <f ca="1">+AA14+Z14</f>
        <v>0.20169080639752818</v>
      </c>
      <c r="AC14" s="88">
        <f ca="1">+AB14/(S14/100)</f>
        <v>6.9530487256602672E-2</v>
      </c>
      <c r="AD14" s="88">
        <f ca="1">1-AC14</f>
        <v>0.93046951274339729</v>
      </c>
      <c r="AE14" s="89">
        <f ca="1">expenses/(AD14)</f>
        <v>8817249.4139423054</v>
      </c>
      <c r="AF14" s="90">
        <f ca="1">+AE14-Revenue</f>
        <v>889326.44718811288</v>
      </c>
      <c r="AG14" s="91">
        <f ca="1">+AF14/$J$49</f>
        <v>981609.97046187881</v>
      </c>
      <c r="AH14" s="91">
        <f ca="1">+AG14*$J$47</f>
        <v>23362.317296992718</v>
      </c>
      <c r="AI14" s="89">
        <f ca="1">ROUND(+AH14+AE14,5)</f>
        <v>8840611.7312400006</v>
      </c>
    </row>
    <row r="15" spans="1:35" ht="16.5" thickTop="1">
      <c r="A15" s="52"/>
      <c r="B15" s="925"/>
      <c r="C15" s="925"/>
      <c r="D15" s="52"/>
      <c r="E15" s="52"/>
      <c r="F15" s="92">
        <f t="shared" si="0"/>
        <v>9</v>
      </c>
      <c r="G15" s="64"/>
      <c r="H15" s="64"/>
      <c r="I15" s="64"/>
      <c r="J15" s="64"/>
      <c r="K15" s="99"/>
      <c r="L15" s="64"/>
      <c r="M15" s="64"/>
      <c r="O15" s="77"/>
      <c r="P15" s="52"/>
      <c r="R15" s="66" t="s">
        <v>287</v>
      </c>
    </row>
    <row r="16" spans="1:35" ht="15.75">
      <c r="A16" s="52"/>
      <c r="B16" s="100" t="s">
        <v>288</v>
      </c>
      <c r="C16" s="925"/>
      <c r="D16" s="925"/>
      <c r="E16" s="52"/>
      <c r="F16" s="92">
        <f t="shared" si="0"/>
        <v>10</v>
      </c>
      <c r="G16" s="64"/>
      <c r="H16" s="83" t="s">
        <v>289</v>
      </c>
      <c r="I16" s="101">
        <f>+I8/I7</f>
        <v>1.0348463021565928</v>
      </c>
      <c r="J16" s="102"/>
      <c r="K16" s="101">
        <f ca="1">+K8/K7</f>
        <v>0.92959999999999987</v>
      </c>
      <c r="L16" s="103"/>
      <c r="M16" s="101">
        <f ca="1">+M8/M7</f>
        <v>0.92978758564937602</v>
      </c>
      <c r="O16" s="77"/>
      <c r="P16" s="52"/>
      <c r="R16" s="104">
        <v>1</v>
      </c>
      <c r="S16" s="105">
        <f ca="1">AI11/Investment*100</f>
        <v>288.31186827345198</v>
      </c>
      <c r="T16" s="106">
        <f ca="1">EXP(y_inter1-(slope*LN(+S16)))</f>
        <v>6.3614979687605349</v>
      </c>
      <c r="U16" s="107">
        <f ca="1">(+S16*T16/100)/100</f>
        <v>0.18340953643911195</v>
      </c>
      <c r="V16" s="107">
        <f>regDebt_weighted</f>
        <v>3.5860000000000003E-2</v>
      </c>
      <c r="W16" s="107">
        <f ca="1">+U16-V16</f>
        <v>0.14754953643911195</v>
      </c>
      <c r="X16" s="107">
        <f ca="1">+((W16*(1-0.34))-Pfd_weighted)/Equity_percent</f>
        <v>0.26509504084248225</v>
      </c>
      <c r="Y16" s="107">
        <f ca="1">+X16*equityP</f>
        <v>0.1466371760780788</v>
      </c>
      <c r="Z16" s="107">
        <f ca="1">+Y16/(1-taxrate)</f>
        <v>0.18561667857984657</v>
      </c>
      <c r="AA16" s="107">
        <f>debtP*Debt_Rate</f>
        <v>2.2990180449074197E-2</v>
      </c>
      <c r="AB16" s="107">
        <f ca="1">+AA16+Z16</f>
        <v>0.20860685902892076</v>
      </c>
      <c r="AC16" s="107">
        <f ca="1">+AB16/(S16/100)</f>
        <v>7.2354586121673531E-2</v>
      </c>
      <c r="AD16" s="107">
        <f ca="1">1-AC16</f>
        <v>0.92764541387832644</v>
      </c>
      <c r="AE16" s="108">
        <f ca="1">expenses/(AD16)</f>
        <v>8844092.412021555</v>
      </c>
      <c r="AF16" s="109">
        <f ca="1">+AE16-Revenue</f>
        <v>916169.44526736252</v>
      </c>
      <c r="AG16" s="110">
        <f ca="1">+AF16/$J$49</f>
        <v>1011238.4096418811</v>
      </c>
      <c r="AH16" s="110">
        <f ca="1">+AG16*$J$47</f>
        <v>24067.474149476773</v>
      </c>
      <c r="AI16" s="108">
        <f ca="1">ROUND(+AH16+AE16,5)</f>
        <v>8868159.8861699998</v>
      </c>
    </row>
    <row r="17" spans="1:35" ht="15.75">
      <c r="A17" s="52"/>
      <c r="B17" s="924"/>
      <c r="C17" s="925"/>
      <c r="D17" s="52" t="s">
        <v>290</v>
      </c>
      <c r="E17" s="52"/>
      <c r="F17" s="92">
        <f t="shared" si="0"/>
        <v>11</v>
      </c>
      <c r="G17" s="64"/>
      <c r="H17" s="64"/>
      <c r="I17" s="64"/>
      <c r="K17" s="64"/>
      <c r="L17" s="83"/>
      <c r="M17" s="83"/>
      <c r="N17" s="101"/>
      <c r="O17" s="52"/>
      <c r="P17" s="52"/>
      <c r="R17" s="85">
        <v>2</v>
      </c>
      <c r="S17" s="86">
        <f ca="1">AI12/Investment*100</f>
        <v>287.92731436721198</v>
      </c>
      <c r="T17" s="96">
        <f ca="1">EXP(y_inter2-(slope*LN(+S17)))</f>
        <v>6.2767126209097484</v>
      </c>
      <c r="U17" s="88">
        <f ca="1">(+S17*T17/100)/100</f>
        <v>0.18072370079933284</v>
      </c>
      <c r="V17" s="88">
        <f>regDebt_weighted</f>
        <v>3.5860000000000003E-2</v>
      </c>
      <c r="W17" s="88">
        <f ca="1">+U17-V17</f>
        <v>0.14486370079933283</v>
      </c>
      <c r="X17" s="88">
        <f ca="1">+((W17*(1-0.34))-Pfd_weighted)/Equity_percent</f>
        <v>0.25994198409174318</v>
      </c>
      <c r="Y17" s="88">
        <f ca="1">+X17*equityP</f>
        <v>0.14378676556984357</v>
      </c>
      <c r="Z17" s="88">
        <f ca="1">+Y17/(1-taxrate)</f>
        <v>0.18200856401246021</v>
      </c>
      <c r="AA17" s="88">
        <f>debtP*Debt_Rate</f>
        <v>2.2990180449074197E-2</v>
      </c>
      <c r="AB17" s="88">
        <f ca="1">+AA17+Z17</f>
        <v>0.2049987444615344</v>
      </c>
      <c r="AC17" s="88">
        <f ca="1">+AB17/(S17/100)</f>
        <v>7.1198088625967063E-2</v>
      </c>
      <c r="AD17" s="88">
        <f ca="1">1-AC17</f>
        <v>0.9288019113740329</v>
      </c>
      <c r="AE17" s="89">
        <f ca="1">expenses/(AD17)</f>
        <v>8833080.1922995169</v>
      </c>
      <c r="AF17" s="90">
        <f ca="1">+AE17-Revenue</f>
        <v>905157.22554532439</v>
      </c>
      <c r="AG17" s="91">
        <f ca="1">+AF17/$J$49</f>
        <v>999083.47518530686</v>
      </c>
      <c r="AH17" s="91">
        <f ca="1">+AG17*$J$47</f>
        <v>23778.186709410304</v>
      </c>
      <c r="AI17" s="89">
        <f ca="1">ROUND(+AH17+AE17,5)</f>
        <v>8856858.3790099993</v>
      </c>
    </row>
    <row r="18" spans="1:35" ht="15.75">
      <c r="A18" s="52"/>
      <c r="B18" s="926" t="s">
        <v>291</v>
      </c>
      <c r="C18" s="926"/>
      <c r="D18" s="52"/>
      <c r="E18" s="52"/>
      <c r="F18" s="92">
        <f t="shared" si="0"/>
        <v>12</v>
      </c>
      <c r="G18" s="64"/>
      <c r="H18" s="111" t="s">
        <v>292</v>
      </c>
      <c r="I18" s="112"/>
      <c r="J18" s="112"/>
      <c r="K18" s="112"/>
      <c r="L18" s="112"/>
      <c r="M18" s="113"/>
      <c r="O18" s="52"/>
      <c r="P18" s="52"/>
      <c r="R18" s="93">
        <v>3</v>
      </c>
      <c r="S18" s="86">
        <f ca="1">AI13/Investment*100</f>
        <v>287.66883674984763</v>
      </c>
      <c r="T18" s="87">
        <f ca="1">EXP(y_inter3-(slope*LN(S18)))</f>
        <v>6.2195054511580539</v>
      </c>
      <c r="U18" s="88">
        <f ca="1">(+S18*T18/100)/100</f>
        <v>0.17891578982939738</v>
      </c>
      <c r="V18" s="88">
        <f>regDebt_weighted</f>
        <v>3.5860000000000003E-2</v>
      </c>
      <c r="W18" s="88">
        <f ca="1">+U18-V18</f>
        <v>0.14305578982939737</v>
      </c>
      <c r="X18" s="88">
        <f ca="1">+((W18*(1-0.34))-Pfd_weighted)/Equity_percent</f>
        <v>0.25647331769593679</v>
      </c>
      <c r="Y18" s="88">
        <f ca="1">+X18*equityP</f>
        <v>0.14186807466026821</v>
      </c>
      <c r="Z18" s="88">
        <f ca="1">+Y18/(1-taxrate)</f>
        <v>0.17957984134211166</v>
      </c>
      <c r="AA18" s="88">
        <f>debtP*Debt_Rate</f>
        <v>2.2990180449074197E-2</v>
      </c>
      <c r="AB18" s="88">
        <f ca="1">+AA18+Z18</f>
        <v>0.20257002179118586</v>
      </c>
      <c r="AC18" s="88">
        <f ca="1">+AB18/(S18/100)</f>
        <v>7.0417784588651014E-2</v>
      </c>
      <c r="AD18" s="88">
        <f ca="1">1-AC18</f>
        <v>0.929582215411349</v>
      </c>
      <c r="AE18" s="89">
        <f ca="1">expenses/(AD18)</f>
        <v>8825665.583863901</v>
      </c>
      <c r="AF18" s="90">
        <f ca="1">+AE18-Revenue</f>
        <v>897742.61710970849</v>
      </c>
      <c r="AG18" s="91">
        <f ca="1">+AF18/$J$49</f>
        <v>990899.46852444136</v>
      </c>
      <c r="AH18" s="91">
        <f ca="1">+AG18*$J$47</f>
        <v>23583.407350881705</v>
      </c>
      <c r="AI18" s="89">
        <f ca="1">ROUND(+AH18+AE18,5)</f>
        <v>8849248.9912100006</v>
      </c>
    </row>
    <row r="19" spans="1:35" ht="15.75">
      <c r="A19" s="52"/>
      <c r="B19" s="52"/>
      <c r="C19" s="52"/>
      <c r="D19" s="52"/>
      <c r="E19" s="52"/>
      <c r="F19" s="92">
        <f t="shared" si="0"/>
        <v>13</v>
      </c>
      <c r="G19" s="64"/>
      <c r="H19" s="69"/>
      <c r="I19" s="83" t="s">
        <v>293</v>
      </c>
      <c r="J19" s="84">
        <f>+Revenue</f>
        <v>7927922.9667541925</v>
      </c>
      <c r="K19" s="114"/>
      <c r="L19" s="83" t="s">
        <v>294</v>
      </c>
      <c r="M19" s="115">
        <f ca="1">+J7</f>
        <v>897573.76939888671</v>
      </c>
      <c r="O19" s="52"/>
      <c r="P19" s="52"/>
      <c r="R19" s="94">
        <v>4</v>
      </c>
      <c r="S19" s="86">
        <f ca="1">AI14/Investment*100</f>
        <v>287.50373423404437</v>
      </c>
      <c r="T19" s="98">
        <f ca="1">EXP(y_inter4-(slope*LN(S19)))</f>
        <v>6.1828719926920659</v>
      </c>
      <c r="U19" s="88">
        <f ca="1">(+S19*T19/100)/100</f>
        <v>0.17775987861900561</v>
      </c>
      <c r="V19" s="88">
        <f>regDebt_weighted</f>
        <v>3.5860000000000003E-2</v>
      </c>
      <c r="W19" s="88">
        <f ca="1">+U19-V19</f>
        <v>0.1418998786190056</v>
      </c>
      <c r="X19" s="88">
        <f ca="1">+((W19*(1-0.34))-Pfd_weighted)/Equity_percent</f>
        <v>0.25425558107134794</v>
      </c>
      <c r="Y19" s="88">
        <f ca="1">+X19*equityP</f>
        <v>0.14064133486581135</v>
      </c>
      <c r="Z19" s="88">
        <f ca="1">+Y19/(1-taxrate)</f>
        <v>0.17802700615925485</v>
      </c>
      <c r="AA19" s="88">
        <f>debtP*Debt_Rate</f>
        <v>2.2990180449074197E-2</v>
      </c>
      <c r="AB19" s="88">
        <f ca="1">+AA19+Z19</f>
        <v>0.20101718660832904</v>
      </c>
      <c r="AC19" s="88">
        <f ca="1">+AB19/(S19/100)</f>
        <v>6.9918113287770242E-2</v>
      </c>
      <c r="AD19" s="88">
        <f ca="1">1-AC19</f>
        <v>0.9300818867122298</v>
      </c>
      <c r="AE19" s="89">
        <f ca="1">expenses/(AD19)</f>
        <v>8820924.1391949616</v>
      </c>
      <c r="AF19" s="90">
        <f ca="1">+AE19-Revenue</f>
        <v>893001.17244076915</v>
      </c>
      <c r="AG19" s="91">
        <f ca="1">+AF19/$J$49</f>
        <v>985666.01417689549</v>
      </c>
      <c r="AH19" s="91">
        <f ca="1">+AG19*$J$47</f>
        <v>23458.851137410114</v>
      </c>
      <c r="AI19" s="89">
        <f ca="1">ROUND(+AH19+AE19,5)</f>
        <v>8844382.9903299995</v>
      </c>
    </row>
    <row r="20" spans="1:35" ht="15.75">
      <c r="A20" s="52"/>
      <c r="B20" s="116"/>
      <c r="C20" s="52"/>
      <c r="D20" s="52"/>
      <c r="E20" s="52"/>
      <c r="F20" s="92">
        <f t="shared" si="0"/>
        <v>14</v>
      </c>
      <c r="G20" s="64"/>
      <c r="H20" s="69"/>
      <c r="I20" s="83" t="s">
        <v>295</v>
      </c>
      <c r="J20" s="84">
        <f ca="1">+J21-J19</f>
        <v>921152.74117517471</v>
      </c>
      <c r="K20" s="114"/>
      <c r="L20" s="83" t="s">
        <v>296</v>
      </c>
      <c r="M20" s="115">
        <f ca="1">+L8</f>
        <v>23578.971776287537</v>
      </c>
      <c r="O20" s="52"/>
      <c r="P20" s="52"/>
      <c r="R20" s="66" t="s">
        <v>297</v>
      </c>
    </row>
    <row r="21" spans="1:35" ht="16.5" thickBot="1">
      <c r="A21" s="52"/>
      <c r="B21" s="116" t="s">
        <v>298</v>
      </c>
      <c r="C21" s="52"/>
      <c r="D21" s="52"/>
      <c r="E21" s="52"/>
      <c r="F21" s="92">
        <f t="shared" si="0"/>
        <v>15</v>
      </c>
      <c r="G21" s="64"/>
      <c r="H21" s="69"/>
      <c r="I21" s="117" t="s">
        <v>292</v>
      </c>
      <c r="J21" s="118">
        <f ca="1">+M7</f>
        <v>8849075.7079293672</v>
      </c>
      <c r="L21" s="117" t="s">
        <v>295</v>
      </c>
      <c r="M21" s="119">
        <f ca="1">+M19+M20</f>
        <v>921152.74117517425</v>
      </c>
      <c r="O21" s="52"/>
      <c r="P21" s="52"/>
      <c r="R21" s="104">
        <v>1</v>
      </c>
      <c r="S21" s="105">
        <f ca="1">AI16/Investment*100</f>
        <v>288.3996221719396</v>
      </c>
      <c r="T21" s="106">
        <f ca="1">EXP(y_inter1-(slope*LN(+S21)))</f>
        <v>6.3601745461466743</v>
      </c>
      <c r="U21" s="107">
        <f ca="1">(+S21*T21/100)/100</f>
        <v>0.18342719360562881</v>
      </c>
      <c r="V21" s="107">
        <f>regDebt_weighted</f>
        <v>3.5860000000000003E-2</v>
      </c>
      <c r="W21" s="107">
        <f ca="1">+U21-V21</f>
        <v>0.14756719360562881</v>
      </c>
      <c r="X21" s="107">
        <f ca="1">+((W21*(1-0.34))-Pfd_weighted)/Equity_percent</f>
        <v>0.26512891796428784</v>
      </c>
      <c r="Y21" s="107">
        <f ca="1">+X21*equityP</f>
        <v>0.14665591518937804</v>
      </c>
      <c r="Z21" s="107">
        <f ca="1">+Y21/(1-taxrate)</f>
        <v>0.18564039897389625</v>
      </c>
      <c r="AA21" s="107">
        <f>debtP*Debt_Rate</f>
        <v>2.2990180449074197E-2</v>
      </c>
      <c r="AB21" s="107">
        <f ca="1">+AA21+Z21</f>
        <v>0.20863057942297045</v>
      </c>
      <c r="AC21" s="107">
        <f ca="1">+AB21/(S21/100)</f>
        <v>7.2340794988485793E-2</v>
      </c>
      <c r="AD21" s="107">
        <f ca="1">1-AC21</f>
        <v>0.92765920501151422</v>
      </c>
      <c r="AE21" s="108">
        <f ca="1">expenses/(AD21)</f>
        <v>8843960.930486396</v>
      </c>
      <c r="AF21" s="109">
        <f ca="1">+AE21-Revenue</f>
        <v>916037.96373220347</v>
      </c>
      <c r="AG21" s="110">
        <f ca="1">+AF21/$J$49</f>
        <v>1011093.2845460832</v>
      </c>
      <c r="AH21" s="110">
        <f ca="1">+AG21*$J$47</f>
        <v>24064.020172196782</v>
      </c>
      <c r="AI21" s="108">
        <f ca="1">ROUND(+AH21+AE21,5)</f>
        <v>8868024.9506599996</v>
      </c>
    </row>
    <row r="22" spans="1:35" ht="16.5" thickTop="1">
      <c r="A22" s="52"/>
      <c r="B22" s="52" t="s">
        <v>299</v>
      </c>
      <c r="C22" s="52"/>
      <c r="D22" s="52"/>
      <c r="E22" s="52"/>
      <c r="F22" s="92">
        <f t="shared" si="0"/>
        <v>16</v>
      </c>
      <c r="G22" s="64"/>
      <c r="H22" s="120"/>
      <c r="I22" s="121"/>
      <c r="J22" s="121"/>
      <c r="K22" s="121"/>
      <c r="L22" s="121"/>
      <c r="M22" s="122"/>
      <c r="O22" s="52"/>
      <c r="P22" s="52"/>
      <c r="R22" s="85">
        <v>2</v>
      </c>
      <c r="S22" s="86">
        <f ca="1">AI17/Investment*100</f>
        <v>288.03208815848541</v>
      </c>
      <c r="T22" s="96">
        <f ca="1">EXP(y_inter2-(slope*LN(+S22)))</f>
        <v>6.275151575472484</v>
      </c>
      <c r="U22" s="88">
        <f ca="1">(+S22*T22/100)/100</f>
        <v>0.18074450117943491</v>
      </c>
      <c r="V22" s="88">
        <f>regDebt_weighted</f>
        <v>3.5860000000000003E-2</v>
      </c>
      <c r="W22" s="88">
        <f ca="1">+U22-V22</f>
        <v>0.14488450117943491</v>
      </c>
      <c r="X22" s="88">
        <f ca="1">+((W22*(1-0.34))-Pfd_weighted)/Equity_percent</f>
        <v>0.259981891797753</v>
      </c>
      <c r="Y22" s="88">
        <f ca="1">+X22*equityP</f>
        <v>0.14380884049547943</v>
      </c>
      <c r="Z22" s="88">
        <f ca="1">+Y22/(1-taxrate)</f>
        <v>0.18203650695630308</v>
      </c>
      <c r="AA22" s="88">
        <f>debtP*Debt_Rate</f>
        <v>2.2990180449074197E-2</v>
      </c>
      <c r="AB22" s="88">
        <f ca="1">+AA22+Z22</f>
        <v>0.20502668740537727</v>
      </c>
      <c r="AC22" s="88">
        <f ca="1">+AB22/(S22/100)</f>
        <v>7.1181891127548386E-2</v>
      </c>
      <c r="AD22" s="88">
        <f ca="1">1-AC22</f>
        <v>0.92881810887245164</v>
      </c>
      <c r="AE22" s="89">
        <f ca="1">expenses/(AD22)</f>
        <v>8832926.1537411809</v>
      </c>
      <c r="AF22" s="90">
        <f ca="1">+AE22-Revenue</f>
        <v>905003.18698698841</v>
      </c>
      <c r="AG22" s="91">
        <f ca="1">+AF22/$J$49</f>
        <v>998913.4523717761</v>
      </c>
      <c r="AH22" s="91">
        <f ca="1">+AG22*$J$47</f>
        <v>23774.140166448273</v>
      </c>
      <c r="AI22" s="89">
        <f ca="1">ROUND(+AH22+AE22,5)</f>
        <v>8856700.2939100005</v>
      </c>
    </row>
    <row r="23" spans="1:35" ht="15.75">
      <c r="A23" s="52"/>
      <c r="B23" s="52" t="s">
        <v>300</v>
      </c>
      <c r="C23" s="52"/>
      <c r="D23" s="52"/>
      <c r="E23" s="52"/>
      <c r="F23" s="92">
        <f t="shared" si="0"/>
        <v>17</v>
      </c>
      <c r="H23" s="64"/>
      <c r="I23" s="64"/>
      <c r="J23" s="64"/>
      <c r="K23" s="64"/>
      <c r="L23" s="64"/>
      <c r="M23" s="64"/>
      <c r="N23" s="64"/>
      <c r="O23" s="52"/>
      <c r="P23" s="52"/>
      <c r="R23" s="93">
        <v>3</v>
      </c>
      <c r="S23" s="86">
        <f ca="1">AI18/Investment*100</f>
        <v>287.78462480705196</v>
      </c>
      <c r="T23" s="87">
        <f ca="1">EXP(y_inter3-(slope*LN(S23)))</f>
        <v>6.217794544972894</v>
      </c>
      <c r="U23" s="88">
        <f ca="1">(+S23*T23/100)/100</f>
        <v>0.17893856702523586</v>
      </c>
      <c r="V23" s="88">
        <f>regDebt_weighted</f>
        <v>3.5860000000000003E-2</v>
      </c>
      <c r="W23" s="88">
        <f ca="1">+U23-V23</f>
        <v>0.14307856702523586</v>
      </c>
      <c r="X23" s="88">
        <f ca="1">+((W23*(1-0.34))-Pfd_weighted)/Equity_percent</f>
        <v>0.25651701812981292</v>
      </c>
      <c r="Y23" s="88">
        <f ca="1">+X23*equityP</f>
        <v>0.14189224753123789</v>
      </c>
      <c r="Z23" s="88">
        <f ca="1">+Y23/(1-taxrate)</f>
        <v>0.17961043991295933</v>
      </c>
      <c r="AA23" s="88">
        <f>debtP*Debt_Rate</f>
        <v>2.2990180449074197E-2</v>
      </c>
      <c r="AB23" s="88">
        <f ca="1">+AA23+Z23</f>
        <v>0.20260062036203352</v>
      </c>
      <c r="AC23" s="88">
        <f ca="1">+AB23/(S23/100)</f>
        <v>7.040008495862804E-2</v>
      </c>
      <c r="AD23" s="88">
        <f ca="1">1-AC23</f>
        <v>0.92959991504137196</v>
      </c>
      <c r="AE23" s="89">
        <f ca="1">expenses/(AD23)</f>
        <v>8825497.542738881</v>
      </c>
      <c r="AF23" s="90">
        <f ca="1">+AE23-Revenue</f>
        <v>897574.57598468848</v>
      </c>
      <c r="AG23" s="91">
        <f ca="1">+AF23/$J$49</f>
        <v>990713.99012751656</v>
      </c>
      <c r="AH23" s="91">
        <f ca="1">+AG23*$J$47</f>
        <v>23578.992965034897</v>
      </c>
      <c r="AI23" s="89">
        <f ca="1">ROUND(+AH23+AE23,5)</f>
        <v>8849076.5357000008</v>
      </c>
    </row>
    <row r="24" spans="1:35" ht="15.75">
      <c r="A24" s="52"/>
      <c r="B24" s="52" t="s">
        <v>301</v>
      </c>
      <c r="C24" s="52"/>
      <c r="D24" s="52"/>
      <c r="E24" s="52"/>
      <c r="F24" s="92">
        <f t="shared" si="0"/>
        <v>18</v>
      </c>
      <c r="H24" s="64"/>
      <c r="J24" s="123" t="s">
        <v>302</v>
      </c>
      <c r="K24" s="124" t="s">
        <v>303</v>
      </c>
      <c r="L24" s="124"/>
      <c r="M24" s="124"/>
      <c r="N24" s="124"/>
      <c r="O24" s="52"/>
      <c r="P24" s="52"/>
      <c r="R24" s="94">
        <v>4</v>
      </c>
      <c r="S24" s="86">
        <f ca="1">AI19/Investment*100</f>
        <v>287.62637858311217</v>
      </c>
      <c r="T24" s="98">
        <f ca="1">EXP(y_inter4-(slope*LN(S24)))</f>
        <v>6.1810694527302275</v>
      </c>
      <c r="U24" s="88">
        <f ca="1">(+S24*T24/100)/100</f>
        <v>0.17778386224594944</v>
      </c>
      <c r="V24" s="88">
        <f>regDebt_weighted</f>
        <v>3.5860000000000003E-2</v>
      </c>
      <c r="W24" s="88">
        <f ca="1">+U24-V24</f>
        <v>0.14192386224594944</v>
      </c>
      <c r="X24" s="88">
        <f ca="1">+((W24*(1-0.34))-Pfd_weighted)/Equity_percent</f>
        <v>0.25430159616955411</v>
      </c>
      <c r="Y24" s="88">
        <f ca="1">+X24*equityP</f>
        <v>0.14066678809208244</v>
      </c>
      <c r="Z24" s="88">
        <f ca="1">+Y24/(1-taxrate)</f>
        <v>0.17805922543301575</v>
      </c>
      <c r="AA24" s="88">
        <f>debtP*Debt_Rate</f>
        <v>2.2990180449074197E-2</v>
      </c>
      <c r="AB24" s="88">
        <f ca="1">+AA24+Z24</f>
        <v>0.20104940588208994</v>
      </c>
      <c r="AC24" s="88">
        <f ca="1">+AB24/(S24/100)</f>
        <v>6.9899501872007525E-2</v>
      </c>
      <c r="AD24" s="88">
        <f ca="1">1-AC24</f>
        <v>0.93010049812799245</v>
      </c>
      <c r="AE24" s="89">
        <f ca="1">expenses/(AD24)</f>
        <v>8820747.6315090768</v>
      </c>
      <c r="AF24" s="90">
        <f ca="1">+AE24-Revenue</f>
        <v>892824.66475488432</v>
      </c>
      <c r="AG24" s="91">
        <f ca="1">+AF24/$J$49</f>
        <v>985471.19066200336</v>
      </c>
      <c r="AH24" s="91">
        <f ca="1">+AG24*$J$47</f>
        <v>23454.214337755682</v>
      </c>
      <c r="AI24" s="89">
        <f ca="1">ROUND(+AH24+AE24,5)</f>
        <v>8844201.8458500002</v>
      </c>
    </row>
    <row r="25" spans="1:35" ht="15.75">
      <c r="A25" s="52"/>
      <c r="B25" s="52" t="s">
        <v>304</v>
      </c>
      <c r="C25" s="52"/>
      <c r="D25" s="52"/>
      <c r="E25" s="52"/>
      <c r="F25" s="92">
        <f t="shared" si="0"/>
        <v>19</v>
      </c>
      <c r="H25" s="125" t="s">
        <v>305</v>
      </c>
      <c r="I25" s="126" t="s">
        <v>306</v>
      </c>
      <c r="J25" s="127" t="s">
        <v>3</v>
      </c>
      <c r="K25" s="125" t="s">
        <v>307</v>
      </c>
      <c r="L25" s="127" t="s">
        <v>308</v>
      </c>
      <c r="M25" s="127" t="s">
        <v>3</v>
      </c>
      <c r="O25" s="52"/>
      <c r="P25" s="52"/>
      <c r="R25" s="66" t="s">
        <v>309</v>
      </c>
      <c r="W25" s="128"/>
      <c r="X25" s="129"/>
      <c r="Y25" s="87"/>
      <c r="Z25" s="87"/>
      <c r="AA25" s="129"/>
      <c r="AC25" s="129"/>
      <c r="AD25" s="129"/>
      <c r="AE25" s="87"/>
      <c r="AF25" s="128"/>
    </row>
    <row r="26" spans="1:35" ht="15.75">
      <c r="A26" s="52"/>
      <c r="B26" s="52"/>
      <c r="C26" s="52"/>
      <c r="D26" s="52"/>
      <c r="E26" s="52"/>
      <c r="F26" s="92">
        <f t="shared" si="0"/>
        <v>20</v>
      </c>
      <c r="H26" s="83" t="s">
        <v>92</v>
      </c>
      <c r="I26" s="130">
        <f>1-I27</f>
        <v>0.55314945014459793</v>
      </c>
      <c r="J26" s="131">
        <f>+I26*J28</f>
        <v>1700909.9137809472</v>
      </c>
      <c r="K26" s="101">
        <f ca="1">+K34</f>
        <v>0.25574002262618306</v>
      </c>
      <c r="L26" s="130">
        <f ca="1">+K26*I26</f>
        <v>0.14146245289564019</v>
      </c>
      <c r="M26" s="84">
        <f ca="1">+J26*K26</f>
        <v>434990.73983543849</v>
      </c>
      <c r="O26" s="52"/>
      <c r="P26" s="52"/>
      <c r="R26" s="104">
        <v>1</v>
      </c>
      <c r="S26" s="105">
        <f ca="1">AI21/Investment*100</f>
        <v>288.39523396169068</v>
      </c>
      <c r="T26" s="106">
        <f ca="1">EXP(y_inter1-(slope*LN(+S26)))</f>
        <v>6.3602407089443327</v>
      </c>
      <c r="U26" s="107">
        <f ca="1">(+S26*T26/100)/100</f>
        <v>0.18342631073086704</v>
      </c>
      <c r="V26" s="107">
        <f>regDebt_weighted</f>
        <v>3.5860000000000003E-2</v>
      </c>
      <c r="W26" s="107">
        <f ca="1">+U26-V26</f>
        <v>0.14756631073086704</v>
      </c>
      <c r="X26" s="107">
        <f ca="1">+((W26*(1-0.34))-Pfd_weighted)/Equity_percent</f>
        <v>0.2651272240766635</v>
      </c>
      <c r="Y26" s="107">
        <f ca="1">+X26*equityP</f>
        <v>0.14665497821637002</v>
      </c>
      <c r="Z26" s="107">
        <f ca="1">+Y26/(1-taxrate)</f>
        <v>0.18563921293211394</v>
      </c>
      <c r="AA26" s="107">
        <f>debtP*Debt_Rate</f>
        <v>2.2990180449074197E-2</v>
      </c>
      <c r="AB26" s="107">
        <f ca="1">+AA26+Z26</f>
        <v>0.20862939338118813</v>
      </c>
      <c r="AC26" s="107">
        <f ca="1">+AB26/(S26/100)</f>
        <v>7.2341484467424194E-2</v>
      </c>
      <c r="AD26" s="107">
        <f ca="1">1-AC26</f>
        <v>0.92765851553257583</v>
      </c>
      <c r="AE26" s="108">
        <f ca="1">expenses/(AD26)</f>
        <v>8843967.5037293416</v>
      </c>
      <c r="AF26" s="109">
        <f ca="1">+AE26-Revenue</f>
        <v>916044.53697514907</v>
      </c>
      <c r="AG26" s="110">
        <f ca="1">+AF26/$J$49</f>
        <v>1011100.5398805378</v>
      </c>
      <c r="AH26" s="110">
        <f ca="1">+AG26*$J$47</f>
        <v>24064.1928491568</v>
      </c>
      <c r="AI26" s="108">
        <f ca="1">ROUND(+AH26+AE26,5)</f>
        <v>8868031.6965800002</v>
      </c>
    </row>
    <row r="27" spans="1:35" ht="15.75">
      <c r="A27" s="52"/>
      <c r="B27" s="52"/>
      <c r="C27" s="52"/>
      <c r="D27" s="52"/>
      <c r="E27" s="52"/>
      <c r="F27" s="92">
        <f t="shared" si="0"/>
        <v>21</v>
      </c>
      <c r="H27" s="83" t="s">
        <v>96</v>
      </c>
      <c r="I27" s="130">
        <f>IF(A65=TRUE,C8,0)</f>
        <v>0.44685054985540207</v>
      </c>
      <c r="J27" s="132">
        <f>+I27*J28</f>
        <v>1374045.5315084136</v>
      </c>
      <c r="K27" s="101">
        <f>IF(A65=TRUE,C9,0)</f>
        <v>5.1449372629201573E-2</v>
      </c>
      <c r="L27" s="130">
        <f>+K27*I27</f>
        <v>2.2990180449074197E-2</v>
      </c>
      <c r="M27" s="84">
        <f>+K27*J27</f>
        <v>70693.780560065701</v>
      </c>
      <c r="O27" s="52"/>
      <c r="P27" s="52"/>
      <c r="R27" s="85">
        <v>2</v>
      </c>
      <c r="S27" s="86">
        <f ca="1">AI22/Investment*100</f>
        <v>288.02694710513322</v>
      </c>
      <c r="T27" s="96">
        <f ca="1">EXP(y_inter2-(slope*LN(+S27)))</f>
        <v>6.2752281507372869</v>
      </c>
      <c r="U27" s="88">
        <f ca="1">(+S27*T27/100)/100</f>
        <v>0.18074348066450516</v>
      </c>
      <c r="V27" s="88">
        <f>regDebt_weighted</f>
        <v>3.5860000000000003E-2</v>
      </c>
      <c r="W27" s="88">
        <f ca="1">+U27-V27</f>
        <v>0.14488348066450515</v>
      </c>
      <c r="X27" s="88">
        <f ca="1">+((W27*(1-0.34))-Pfd_weighted)/Equity_percent</f>
        <v>0.25997993383306217</v>
      </c>
      <c r="Y27" s="88">
        <f ca="1">+X27*equityP</f>
        <v>0.14380775744838728</v>
      </c>
      <c r="Z27" s="88">
        <f ca="1">+Y27/(1-taxrate)</f>
        <v>0.1820351360106168</v>
      </c>
      <c r="AA27" s="88">
        <f>debtP*Debt_Rate</f>
        <v>2.2990180449074197E-2</v>
      </c>
      <c r="AB27" s="88">
        <f ca="1">+AA27+Z27</f>
        <v>0.20502531645969099</v>
      </c>
      <c r="AC27" s="88">
        <f ca="1">+AB27/(S27/100)</f>
        <v>7.1182685689771361E-2</v>
      </c>
      <c r="AD27" s="88">
        <f ca="1">1-AC27</f>
        <v>0.92881731431022863</v>
      </c>
      <c r="AE27" s="89">
        <f ca="1">expenses/(AD27)</f>
        <v>8832933.7099197023</v>
      </c>
      <c r="AF27" s="90">
        <f ca="1">+AE27-Revenue</f>
        <v>905010.74316550978</v>
      </c>
      <c r="AG27" s="91">
        <f ca="1">+AF27/$J$49</f>
        <v>998921.79263895098</v>
      </c>
      <c r="AH27" s="91">
        <f ca="1">+AG27*$J$47</f>
        <v>23774.338664807034</v>
      </c>
      <c r="AI27" s="89">
        <f ca="1">ROUND(+AH27+AE27,5)</f>
        <v>8856708.0485800002</v>
      </c>
    </row>
    <row r="28" spans="1:35" ht="16.5" thickBot="1">
      <c r="A28" s="52"/>
      <c r="B28" s="52"/>
      <c r="C28" s="52"/>
      <c r="D28" s="52"/>
      <c r="E28" s="52"/>
      <c r="F28" s="92">
        <f t="shared" si="0"/>
        <v>22</v>
      </c>
      <c r="H28" s="83" t="s">
        <v>0</v>
      </c>
      <c r="I28" s="133">
        <f>SUM(I26:I27)</f>
        <v>1</v>
      </c>
      <c r="J28" s="134">
        <f>IF(A65=TRUE,C7,0)</f>
        <v>3074955.4452893608</v>
      </c>
      <c r="K28" s="135"/>
      <c r="L28" s="136">
        <f ca="1">SUM(L26:L27)</f>
        <v>0.16445263334471438</v>
      </c>
      <c r="M28" s="134">
        <f ca="1">SUM(M26:M27)</f>
        <v>505684.52039550419</v>
      </c>
      <c r="O28" s="52"/>
      <c r="P28" s="52"/>
      <c r="R28" s="93">
        <v>3</v>
      </c>
      <c r="S28" s="86">
        <f ca="1">AI23/Investment*100</f>
        <v>287.77901641652181</v>
      </c>
      <c r="T28" s="87">
        <f ca="1">EXP(y_inter3-(slope*LN(S28)))</f>
        <v>6.2178773888995309</v>
      </c>
      <c r="U28" s="88">
        <f ca="1">(+S28*T28/100)/100</f>
        <v>0.17893746391760376</v>
      </c>
      <c r="V28" s="88">
        <f>regDebt_weighted</f>
        <v>3.5860000000000003E-2</v>
      </c>
      <c r="W28" s="88">
        <f ca="1">+U28-V28</f>
        <v>0.14307746391760376</v>
      </c>
      <c r="X28" s="88">
        <f ca="1">+((W28*(1-0.34))-Pfd_weighted)/Equity_percent</f>
        <v>0.25651490170237928</v>
      </c>
      <c r="Y28" s="88">
        <f ca="1">+X28*equityP</f>
        <v>0.14189107683056668</v>
      </c>
      <c r="Z28" s="88">
        <f ca="1">+Y28/(1-taxrate)</f>
        <v>0.17960895801337554</v>
      </c>
      <c r="AA28" s="88">
        <f>debtP*Debt_Rate</f>
        <v>2.2990180449074197E-2</v>
      </c>
      <c r="AB28" s="88">
        <f ca="1">+AA28+Z28</f>
        <v>0.20259913846244973</v>
      </c>
      <c r="AC28" s="88">
        <f ca="1">+AB28/(S28/100)</f>
        <v>7.0400942009341799E-2</v>
      </c>
      <c r="AD28" s="88">
        <f ca="1">1-AC28</f>
        <v>0.92959905799065823</v>
      </c>
      <c r="AE28" s="89">
        <f ca="1">expenses/(AD28)</f>
        <v>8825505.6794714909</v>
      </c>
      <c r="AF28" s="90">
        <f ca="1">+AE28-Revenue</f>
        <v>897582.71271729842</v>
      </c>
      <c r="AG28" s="91">
        <f ca="1">+AF28/$J$49</f>
        <v>990722.97119164909</v>
      </c>
      <c r="AH28" s="91">
        <f ca="1">+AG28*$J$47</f>
        <v>23579.206714361251</v>
      </c>
      <c r="AI28" s="89">
        <f ca="1">ROUND(+AH28+AE28,5)</f>
        <v>8849084.8861900009</v>
      </c>
    </row>
    <row r="29" spans="1:35" ht="16.5" thickTop="1">
      <c r="A29" s="52"/>
      <c r="B29" s="52"/>
      <c r="C29" s="52"/>
      <c r="D29" s="52"/>
      <c r="E29" s="52"/>
      <c r="F29" s="92">
        <f t="shared" si="0"/>
        <v>23</v>
      </c>
      <c r="G29" s="64"/>
      <c r="H29" s="64"/>
      <c r="I29" s="64"/>
      <c r="J29" s="64"/>
      <c r="K29" s="64"/>
      <c r="L29" s="64"/>
      <c r="M29" s="64"/>
      <c r="N29" s="64"/>
      <c r="O29" s="52"/>
      <c r="P29" s="52"/>
      <c r="R29" s="94">
        <v>4</v>
      </c>
      <c r="S29" s="86">
        <f ca="1">AI24/Investment*100</f>
        <v>287.62048762035766</v>
      </c>
      <c r="T29" s="98">
        <f ca="1">EXP(y_inter4-(slope*LN(S29)))</f>
        <v>6.1811560043497087</v>
      </c>
      <c r="U29" s="88">
        <f ca="1">(+S29*T29/100)/100</f>
        <v>0.17778271040285648</v>
      </c>
      <c r="V29" s="88">
        <f>regDebt_weighted</f>
        <v>3.5860000000000003E-2</v>
      </c>
      <c r="W29" s="88">
        <f ca="1">+U29-V29</f>
        <v>0.14192271040285648</v>
      </c>
      <c r="X29" s="88">
        <f ca="1">+((W29*(1-0.34))-Pfd_weighted)/Equity_percent</f>
        <v>0.25429938623803855</v>
      </c>
      <c r="Y29" s="88">
        <f ca="1">+X29*equityP</f>
        <v>0.14066556566967975</v>
      </c>
      <c r="Z29" s="88">
        <f ca="1">+Y29/(1-taxrate)</f>
        <v>0.17805767806288575</v>
      </c>
      <c r="AA29" s="88">
        <f>debtP*Debt_Rate</f>
        <v>2.2990180449074197E-2</v>
      </c>
      <c r="AB29" s="88">
        <f ca="1">+AA29+Z29</f>
        <v>0.20104785851195994</v>
      </c>
      <c r="AC29" s="88">
        <f ca="1">+AB29/(S29/100)</f>
        <v>6.9900395543912516E-2</v>
      </c>
      <c r="AD29" s="88">
        <f ca="1">1-AC29</f>
        <v>0.93009960445608753</v>
      </c>
      <c r="AE29" s="89">
        <f ca="1">expenses/(AD29)</f>
        <v>8820756.1067888215</v>
      </c>
      <c r="AF29" s="90">
        <f ca="1">+AE29-Revenue</f>
        <v>892833.14003462903</v>
      </c>
      <c r="AG29" s="91">
        <f ca="1">+AF29/$J$49</f>
        <v>985480.54540359031</v>
      </c>
      <c r="AH29" s="91">
        <f ca="1">+AG29*$J$47</f>
        <v>23454.436980605453</v>
      </c>
      <c r="AI29" s="89">
        <f ca="1">ROUND(+AH29+AE29,5)</f>
        <v>8844210.5437700003</v>
      </c>
    </row>
    <row r="30" spans="1:35" ht="15.75">
      <c r="A30" s="52"/>
      <c r="B30" s="52"/>
      <c r="C30" s="52"/>
      <c r="D30" s="52"/>
      <c r="E30" s="52"/>
      <c r="F30" s="92">
        <f t="shared" si="0"/>
        <v>24</v>
      </c>
      <c r="G30" s="64"/>
      <c r="H30" s="64"/>
      <c r="I30" s="64"/>
      <c r="J30" s="137" t="s">
        <v>310</v>
      </c>
      <c r="K30" s="137" t="s">
        <v>311</v>
      </c>
      <c r="L30" s="64"/>
      <c r="M30" s="64"/>
      <c r="N30" s="64"/>
      <c r="O30" s="52"/>
      <c r="P30" s="52"/>
      <c r="R30" s="66" t="s">
        <v>312</v>
      </c>
      <c r="W30" s="128"/>
      <c r="X30" s="129"/>
      <c r="Y30" s="87"/>
      <c r="Z30" s="87"/>
      <c r="AA30" s="129"/>
      <c r="AC30" s="129"/>
      <c r="AD30" s="129"/>
      <c r="AE30" s="87"/>
      <c r="AF30" s="128"/>
      <c r="AH30" s="87"/>
    </row>
    <row r="31" spans="1:35" ht="15.75">
      <c r="A31" s="52"/>
      <c r="B31" s="52"/>
      <c r="C31" s="52"/>
      <c r="D31" s="52"/>
      <c r="E31" s="52"/>
      <c r="F31" s="92">
        <f t="shared" si="0"/>
        <v>25</v>
      </c>
      <c r="G31" s="64"/>
      <c r="H31" s="138" t="s">
        <v>313</v>
      </c>
      <c r="I31" s="139"/>
      <c r="J31" s="140" t="s">
        <v>314</v>
      </c>
      <c r="K31" s="140" t="s">
        <v>314</v>
      </c>
      <c r="L31" s="64"/>
      <c r="M31" s="64"/>
      <c r="N31" s="64"/>
      <c r="O31" s="52"/>
      <c r="P31" s="52"/>
      <c r="R31" s="104">
        <v>1</v>
      </c>
      <c r="S31" s="105">
        <f ca="1">AI26/Investment*100</f>
        <v>288.39545334438156</v>
      </c>
      <c r="T31" s="106">
        <f ca="1">EXP(y_inter1-(slope*LN(+S31)))</f>
        <v>6.3602374011836762</v>
      </c>
      <c r="U31" s="107">
        <f ca="1">(+S31*T31/100)/100</f>
        <v>0.18342635486922576</v>
      </c>
      <c r="V31" s="107">
        <f>regDebt_weighted</f>
        <v>3.5860000000000003E-2</v>
      </c>
      <c r="W31" s="107">
        <f ca="1">+U31-V31</f>
        <v>0.14756635486922576</v>
      </c>
      <c r="X31" s="107">
        <f ca="1">+((W31*(1-0.34))-Pfd_weighted)/Equity_percent</f>
        <v>0.26512730876072382</v>
      </c>
      <c r="Y31" s="107">
        <f ca="1">+X31*equityP</f>
        <v>0.14665502505931141</v>
      </c>
      <c r="Z31" s="107">
        <f ca="1">+Y31/(1-taxrate)</f>
        <v>0.18563927222697646</v>
      </c>
      <c r="AA31" s="107">
        <f>debtP*Debt_Rate</f>
        <v>2.2990180449074197E-2</v>
      </c>
      <c r="AB31" s="107">
        <f ca="1">+AA31+Z31</f>
        <v>0.20862945267605065</v>
      </c>
      <c r="AC31" s="107">
        <f ca="1">+AB31/(S31/100)</f>
        <v>7.2341449997451956E-2</v>
      </c>
      <c r="AD31" s="107">
        <f ca="1">1-AC31</f>
        <v>0.92765855000254804</v>
      </c>
      <c r="AE31" s="108">
        <f ca="1">expenses/(AD31)</f>
        <v>8843967.1751048565</v>
      </c>
      <c r="AF31" s="109">
        <f ca="1">+AE31-Revenue</f>
        <v>916044.208350664</v>
      </c>
      <c r="AG31" s="110">
        <f ca="1">+AF31/$J$49</f>
        <v>1011100.1771553855</v>
      </c>
      <c r="AH31" s="110">
        <f ca="1">+AG31*$J$47</f>
        <v>24064.184216298177</v>
      </c>
      <c r="AI31" s="108">
        <f ca="1">ROUND(+AH31+AE31,5)</f>
        <v>8868031.3593199998</v>
      </c>
    </row>
    <row r="32" spans="1:35" ht="15.75">
      <c r="A32" s="52"/>
      <c r="B32" s="52"/>
      <c r="C32" s="52"/>
      <c r="D32" s="52"/>
      <c r="E32" s="52"/>
      <c r="F32" s="92">
        <f t="shared" si="0"/>
        <v>26</v>
      </c>
      <c r="G32" s="64"/>
      <c r="H32" s="75"/>
      <c r="I32" s="75"/>
      <c r="J32" s="75"/>
      <c r="K32" s="75"/>
      <c r="L32" s="64"/>
      <c r="M32" s="64"/>
      <c r="N32" s="64"/>
      <c r="O32" s="52"/>
      <c r="P32" s="52"/>
      <c r="R32" s="85">
        <v>2</v>
      </c>
      <c r="S32" s="86">
        <f ca="1">AI27/Investment*100</f>
        <v>288.02719929317743</v>
      </c>
      <c r="T32" s="96">
        <f ca="1">EXP(y_inter2-(slope*LN(+S32)))</f>
        <v>6.2752243943782524</v>
      </c>
      <c r="U32" s="88">
        <f ca="1">(+S32*T32/100)/100</f>
        <v>0.18074353072489935</v>
      </c>
      <c r="V32" s="88">
        <f>regDebt_weighted</f>
        <v>3.5860000000000003E-2</v>
      </c>
      <c r="W32" s="88">
        <f ca="1">+U32-V32</f>
        <v>0.14488353072489935</v>
      </c>
      <c r="X32" s="88">
        <f ca="1">+((W32*(1-0.34))-Pfd_weighted)/Equity_percent</f>
        <v>0.25998002987916735</v>
      </c>
      <c r="Y32" s="88">
        <f ca="1">+X32*equityP</f>
        <v>0.14380781057623757</v>
      </c>
      <c r="Z32" s="88">
        <f ca="1">+Y32/(1-taxrate)</f>
        <v>0.18203520326106021</v>
      </c>
      <c r="AA32" s="88">
        <f>debtP*Debt_Rate</f>
        <v>2.2990180449074197E-2</v>
      </c>
      <c r="AB32" s="88">
        <f ca="1">+AA32+Z32</f>
        <v>0.2050253837101344</v>
      </c>
      <c r="AC32" s="88">
        <f ca="1">+AB32/(S32/100)</f>
        <v>7.1182646712973432E-2</v>
      </c>
      <c r="AD32" s="88">
        <f ca="1">1-AC32</f>
        <v>0.92881735328702653</v>
      </c>
      <c r="AE32" s="89">
        <f ca="1">expenses/(AD32)</f>
        <v>8832933.3392553609</v>
      </c>
      <c r="AF32" s="90">
        <f ca="1">+AE32-Revenue</f>
        <v>905010.3725011684</v>
      </c>
      <c r="AG32" s="91">
        <f ca="1">+AF32/$J$49</f>
        <v>998921.38351155538</v>
      </c>
      <c r="AH32" s="91">
        <f ca="1">+AG32*$J$47</f>
        <v>23774.328927575021</v>
      </c>
      <c r="AI32" s="89">
        <f ca="1">ROUND(+AH32+AE32,5)</f>
        <v>8856707.66818</v>
      </c>
    </row>
    <row r="33" spans="1:46" ht="15.75">
      <c r="A33" s="52"/>
      <c r="B33" s="52"/>
      <c r="C33" s="52"/>
      <c r="D33" s="52"/>
      <c r="E33" s="52"/>
      <c r="F33" s="92">
        <f t="shared" si="0"/>
        <v>27</v>
      </c>
      <c r="G33" s="64"/>
      <c r="H33" s="75" t="s">
        <v>315</v>
      </c>
      <c r="I33" s="75"/>
      <c r="J33" s="141">
        <f ca="1">+K9/J28</f>
        <v>0.20205657651950482</v>
      </c>
      <c r="K33" s="141">
        <f ca="1">+(M14+M11)/J28</f>
        <v>0.16445263334471438</v>
      </c>
      <c r="L33" s="64"/>
      <c r="M33" s="64"/>
      <c r="N33" s="64"/>
      <c r="O33" s="52"/>
      <c r="P33" s="52"/>
      <c r="R33" s="93">
        <v>3</v>
      </c>
      <c r="S33" s="86">
        <f ca="1">AI28/Investment*100</f>
        <v>287.77928798110702</v>
      </c>
      <c r="T33" s="87">
        <f ca="1">EXP(y_inter3-(slope*LN(S33)))</f>
        <v>6.2178733774406805</v>
      </c>
      <c r="U33" s="88">
        <f ca="1">(+S33*T33/100)/100</f>
        <v>0.178937517331656</v>
      </c>
      <c r="V33" s="88">
        <f>regDebt_weighted</f>
        <v>3.5860000000000003E-2</v>
      </c>
      <c r="W33" s="88">
        <f ca="1">+U33-V33</f>
        <v>0.143077517331656</v>
      </c>
      <c r="X33" s="88">
        <f ca="1">+((W33*(1-0.34))-Pfd_weighted)/Equity_percent</f>
        <v>0.25651500418282835</v>
      </c>
      <c r="Y33" s="88">
        <f ca="1">+X33*equityP</f>
        <v>0.14189113351757074</v>
      </c>
      <c r="Z33" s="88">
        <f ca="1">+Y33/(1-taxrate)</f>
        <v>0.17960902976907689</v>
      </c>
      <c r="AA33" s="88">
        <f>debtP*Debt_Rate</f>
        <v>2.2990180449074197E-2</v>
      </c>
      <c r="AB33" s="88">
        <f ca="1">+AA33+Z33</f>
        <v>0.20259921021815108</v>
      </c>
      <c r="AC33" s="88">
        <f ca="1">+AB33/(S33/100)</f>
        <v>7.0400900509369493E-2</v>
      </c>
      <c r="AD33" s="88">
        <f ca="1">1-AC33</f>
        <v>0.92959909949063046</v>
      </c>
      <c r="AE33" s="89">
        <f ca="1">expenses/(AD33)</f>
        <v>8825505.2854755837</v>
      </c>
      <c r="AF33" s="90">
        <f ca="1">+AE33-Revenue</f>
        <v>897582.31872139126</v>
      </c>
      <c r="AG33" s="91">
        <f ca="1">+AF33/$J$49</f>
        <v>990722.5363116205</v>
      </c>
      <c r="AH33" s="91">
        <f ca="1">+AG33*$J$47</f>
        <v>23579.196364216568</v>
      </c>
      <c r="AI33" s="89">
        <f ca="1">ROUND(+AH33+AE33,5)</f>
        <v>8849084.4818399996</v>
      </c>
    </row>
    <row r="34" spans="1:46" ht="15.75">
      <c r="A34" s="52"/>
      <c r="B34" s="52"/>
      <c r="C34" s="52"/>
      <c r="D34" s="52"/>
      <c r="E34" s="52"/>
      <c r="F34" s="92">
        <f t="shared" si="0"/>
        <v>28</v>
      </c>
      <c r="G34" s="64"/>
      <c r="H34" s="75" t="s">
        <v>316</v>
      </c>
      <c r="I34" s="75"/>
      <c r="J34" s="141">
        <f ca="1">+(M9-M11)/J26</f>
        <v>0.32372154762807975</v>
      </c>
      <c r="K34" s="141">
        <f ca="1">+M14/J26</f>
        <v>0.25574002262618306</v>
      </c>
      <c r="L34" s="64"/>
      <c r="M34" s="64"/>
      <c r="N34" s="64"/>
      <c r="O34" s="142"/>
      <c r="P34" s="52"/>
      <c r="R34" s="94">
        <v>4</v>
      </c>
      <c r="S34" s="86">
        <f ca="1">AI29/Investment*100</f>
        <v>287.62077048364318</v>
      </c>
      <c r="T34" s="98">
        <f ca="1">EXP(y_inter4-(slope*LN(S34)))</f>
        <v>6.1811518483775281</v>
      </c>
      <c r="U34" s="88">
        <f ca="1">(+S34*T34/100)/100</f>
        <v>0.17778276571067397</v>
      </c>
      <c r="V34" s="88">
        <f>regDebt_weighted</f>
        <v>3.5860000000000003E-2</v>
      </c>
      <c r="W34" s="88">
        <f ca="1">+U34-V34</f>
        <v>0.14192276571067397</v>
      </c>
      <c r="X34" s="88">
        <f ca="1">+((W34*(1-0.34))-Pfd_weighted)/Equity_percent</f>
        <v>0.25429949235187449</v>
      </c>
      <c r="Y34" s="88">
        <f ca="1">+X34*equityP</f>
        <v>0.14066562436648977</v>
      </c>
      <c r="Z34" s="88">
        <f ca="1">+Y34/(1-taxrate)</f>
        <v>0.17805775236264526</v>
      </c>
      <c r="AA34" s="88">
        <f>debtP*Debt_Rate</f>
        <v>2.2990180449074197E-2</v>
      </c>
      <c r="AB34" s="88">
        <f ca="1">+AA34+Z34</f>
        <v>0.20104793281171945</v>
      </c>
      <c r="AC34" s="88">
        <f ca="1">+AB34/(S34/100)</f>
        <v>6.9900352632270318E-2</v>
      </c>
      <c r="AD34" s="88">
        <f ca="1">1-AC34</f>
        <v>0.93009964736772965</v>
      </c>
      <c r="AE34" s="89">
        <f ca="1">expenses/(AD34)</f>
        <v>8820755.6998290606</v>
      </c>
      <c r="AF34" s="90">
        <f ca="1">+AE34-Revenue</f>
        <v>892832.7330748681</v>
      </c>
      <c r="AG34" s="91">
        <f ca="1">+AF34/$J$49</f>
        <v>985480.09621447627</v>
      </c>
      <c r="AH34" s="91">
        <f ca="1">+AG34*$J$47</f>
        <v>23454.426289904535</v>
      </c>
      <c r="AI34" s="89">
        <f ca="1">ROUND(+AH34+AE34,5)</f>
        <v>8844210.1261199992</v>
      </c>
    </row>
    <row r="35" spans="1:46" ht="15.75">
      <c r="A35" s="52"/>
      <c r="B35" s="52"/>
      <c r="C35" s="52"/>
      <c r="D35" s="52"/>
      <c r="E35" s="52"/>
      <c r="F35" s="92">
        <f t="shared" si="0"/>
        <v>29</v>
      </c>
      <c r="G35" s="64"/>
      <c r="H35" s="143" t="s">
        <v>272</v>
      </c>
      <c r="I35" s="75"/>
      <c r="J35" s="141">
        <f ca="1">+K8/K7</f>
        <v>0.92959999999999987</v>
      </c>
      <c r="K35" s="141">
        <f ca="1">+M8/M7</f>
        <v>0.92978758564937602</v>
      </c>
      <c r="L35" s="64"/>
      <c r="M35" s="64"/>
      <c r="N35" s="64"/>
      <c r="O35" s="52"/>
      <c r="P35" s="52"/>
      <c r="R35" s="66" t="s">
        <v>317</v>
      </c>
      <c r="X35" s="129"/>
      <c r="Y35" s="144"/>
      <c r="Z35" s="87"/>
      <c r="AA35" s="129"/>
      <c r="AC35" s="129"/>
      <c r="AD35" s="129"/>
      <c r="AE35" s="87"/>
      <c r="AF35" s="128"/>
      <c r="AH35" s="87"/>
    </row>
    <row r="36" spans="1:46" ht="15.75">
      <c r="A36" s="52"/>
      <c r="B36" s="52"/>
      <c r="C36" s="52"/>
      <c r="D36" s="52"/>
      <c r="E36" s="52"/>
      <c r="F36" s="92">
        <f t="shared" si="0"/>
        <v>30</v>
      </c>
      <c r="G36" s="64"/>
      <c r="H36" s="75" t="s">
        <v>318</v>
      </c>
      <c r="I36" s="75"/>
      <c r="J36" s="141">
        <f ca="1">+K9/K7</f>
        <v>7.0400000000000101E-2</v>
      </c>
      <c r="K36" s="141">
        <f ca="1">+J36</f>
        <v>7.0400000000000101E-2</v>
      </c>
      <c r="L36" s="64"/>
      <c r="M36" s="64"/>
      <c r="N36" s="64"/>
      <c r="O36" s="52"/>
      <c r="P36" s="52"/>
      <c r="R36" s="104">
        <v>1</v>
      </c>
      <c r="S36" s="105">
        <f ca="1">AI31/Investment*100</f>
        <v>288.3954423764178</v>
      </c>
      <c r="T36" s="106">
        <f ca="1">EXP(y_inter1-(slope*LN(+S36)))</f>
        <v>6.3602375665539546</v>
      </c>
      <c r="U36" s="107">
        <f ca="1">(+S36*T36/100)/100</f>
        <v>0.18342635266254387</v>
      </c>
      <c r="V36" s="107">
        <f>regDebt_weighted</f>
        <v>3.5860000000000003E-2</v>
      </c>
      <c r="W36" s="107">
        <f ca="1">+U36-V36</f>
        <v>0.14756635266254386</v>
      </c>
      <c r="X36" s="107">
        <f ca="1">+((W36*(1-0.34))-Pfd_weighted)/Equity_percent</f>
        <v>0.26512730452697369</v>
      </c>
      <c r="Y36" s="107">
        <f ca="1">+X36*equityP</f>
        <v>0.14665502271741487</v>
      </c>
      <c r="Z36" s="107">
        <f ca="1">+Y36/(1-taxrate)</f>
        <v>0.18563926926255048</v>
      </c>
      <c r="AA36" s="107">
        <f>debtP*Debt_Rate</f>
        <v>2.2990180449074197E-2</v>
      </c>
      <c r="AB36" s="107">
        <f ca="1">+AA36+Z36</f>
        <v>0.20862944971162467</v>
      </c>
      <c r="AC36" s="107">
        <f ca="1">+AB36/(S36/100)</f>
        <v>7.2341451720765601E-2</v>
      </c>
      <c r="AD36" s="107">
        <f ca="1">1-AC36</f>
        <v>0.92765854827923444</v>
      </c>
      <c r="AE36" s="108">
        <f ca="1">expenses/(AD36)</f>
        <v>8843967.1915343162</v>
      </c>
      <c r="AF36" s="109">
        <f ca="1">+AE36-Revenue</f>
        <v>916044.22478012368</v>
      </c>
      <c r="AG36" s="110">
        <f ca="1">+AF36/$J$49</f>
        <v>1011100.1952896954</v>
      </c>
      <c r="AH36" s="110">
        <f ca="1">+AG36*$J$47</f>
        <v>24064.184647894752</v>
      </c>
      <c r="AI36" s="108">
        <f ca="1">ROUND(+AH36+AE36,5)</f>
        <v>8868031.3761800006</v>
      </c>
    </row>
    <row r="37" spans="1:46" ht="15.75">
      <c r="A37" s="52"/>
      <c r="B37" s="52"/>
      <c r="C37" s="52"/>
      <c r="D37" s="52"/>
      <c r="E37" s="52"/>
      <c r="F37" s="92">
        <f t="shared" si="0"/>
        <v>31</v>
      </c>
      <c r="G37" s="64"/>
      <c r="H37" s="75" t="s">
        <v>319</v>
      </c>
      <c r="I37" s="145"/>
      <c r="J37" s="146">
        <f ca="1">+S39/100</f>
        <v>2.8762075690133253</v>
      </c>
      <c r="K37" s="146">
        <f ca="1">+J37</f>
        <v>2.8762075690133253</v>
      </c>
      <c r="L37" s="64"/>
      <c r="M37" s="64"/>
      <c r="N37" s="64"/>
      <c r="O37" s="52"/>
      <c r="P37" s="52"/>
      <c r="R37" s="85">
        <v>2</v>
      </c>
      <c r="S37" s="86">
        <f ca="1">AI32/Investment*100</f>
        <v>288.02718692226648</v>
      </c>
      <c r="T37" s="96">
        <f ca="1">EXP(y_inter2-(slope*LN(+S37)))</f>
        <v>6.2752245786437308</v>
      </c>
      <c r="U37" s="88">
        <f ca="1">(+S37*T37/100)/100</f>
        <v>0.18074352826922188</v>
      </c>
      <c r="V37" s="88">
        <f>regDebt_weighted</f>
        <v>3.5860000000000003E-2</v>
      </c>
      <c r="W37" s="88">
        <f ca="1">+U37-V37</f>
        <v>0.14488352826922188</v>
      </c>
      <c r="X37" s="88">
        <f ca="1">+((W37*(1-0.34))-Pfd_weighted)/Equity_percent</f>
        <v>0.25998002516769314</v>
      </c>
      <c r="Y37" s="88">
        <f ca="1">+X37*equityP</f>
        <v>0.14380780797008819</v>
      </c>
      <c r="Z37" s="88">
        <f ca="1">+Y37/(1-taxrate)</f>
        <v>0.18203519996213693</v>
      </c>
      <c r="AA37" s="88">
        <f>debtP*Debt_Rate</f>
        <v>2.2990180449074197E-2</v>
      </c>
      <c r="AB37" s="88">
        <f ca="1">+AA37+Z37</f>
        <v>0.20502538041121113</v>
      </c>
      <c r="AC37" s="88">
        <f ca="1">+AB37/(S37/100)</f>
        <v>7.1182648624952161E-2</v>
      </c>
      <c r="AD37" s="88">
        <f ca="1">1-AC37</f>
        <v>0.92881735137504784</v>
      </c>
      <c r="AE37" s="89">
        <f ca="1">expenses/(AD37)</f>
        <v>8832933.3574380316</v>
      </c>
      <c r="AF37" s="90">
        <f ca="1">+AE37-Revenue</f>
        <v>905010.3906838391</v>
      </c>
      <c r="AG37" s="91">
        <f ca="1">+AF37/$J$49</f>
        <v>998921.40358100331</v>
      </c>
      <c r="AH37" s="91">
        <f ca="1">+AG37*$J$47</f>
        <v>23774.32940522788</v>
      </c>
      <c r="AI37" s="89">
        <f ca="1">ROUND(+AH37+AE37,5)</f>
        <v>8856707.6868399996</v>
      </c>
    </row>
    <row r="38" spans="1:46" ht="15.75">
      <c r="A38" s="52"/>
      <c r="B38" s="52"/>
      <c r="C38" s="52"/>
      <c r="D38" s="52"/>
      <c r="E38" s="52"/>
      <c r="F38" s="92">
        <f t="shared" si="0"/>
        <v>32</v>
      </c>
      <c r="G38" s="64"/>
      <c r="H38" s="75" t="s">
        <v>320</v>
      </c>
      <c r="I38" s="64"/>
      <c r="J38" s="141">
        <f>+C10</f>
        <v>0.21</v>
      </c>
      <c r="K38" s="141">
        <f>+J38</f>
        <v>0.21</v>
      </c>
      <c r="L38" s="64"/>
      <c r="M38" s="64"/>
      <c r="N38" s="64"/>
      <c r="O38" s="52"/>
      <c r="P38" s="52"/>
      <c r="Q38" s="147"/>
      <c r="R38" s="93">
        <v>3</v>
      </c>
      <c r="S38" s="86">
        <f ca="1">AI33/Investment*100</f>
        <v>287.77927483132294</v>
      </c>
      <c r="T38" s="87">
        <f ca="1">EXP(y_inter3-(slope*LN(S38)))</f>
        <v>6.2178735716846312</v>
      </c>
      <c r="U38" s="88">
        <f ca="1">(+S38*T38/100)/100</f>
        <v>0.1789375147452251</v>
      </c>
      <c r="V38" s="88">
        <f>regDebt_weighted</f>
        <v>3.5860000000000003E-2</v>
      </c>
      <c r="W38" s="88">
        <f ca="1">+U38-V38</f>
        <v>0.14307751474522509</v>
      </c>
      <c r="X38" s="88">
        <f ca="1">+((W38*(1-0.34))-Pfd_weighted)/Equity_percent</f>
        <v>0.25651499922048998</v>
      </c>
      <c r="Y38" s="88">
        <f ca="1">+X38*equityP</f>
        <v>0.141891130772656</v>
      </c>
      <c r="Z38" s="88">
        <f ca="1">+Y38/(1-taxrate)</f>
        <v>0.17960902629450126</v>
      </c>
      <c r="AA38" s="88">
        <f>debtP*Debt_Rate</f>
        <v>2.2990180449074197E-2</v>
      </c>
      <c r="AB38" s="88">
        <f ca="1">+AA38+Z38</f>
        <v>0.20259920674357546</v>
      </c>
      <c r="AC38" s="88">
        <f ca="1">+AB38/(S38/100)</f>
        <v>7.0400902518892514E-2</v>
      </c>
      <c r="AD38" s="88">
        <f ca="1">1-AC38</f>
        <v>0.92959909748110747</v>
      </c>
      <c r="AE38" s="89">
        <f ca="1">expenses/(AD38)</f>
        <v>8825505.3045537602</v>
      </c>
      <c r="AF38" s="90">
        <f ca="1">+AE38-Revenue</f>
        <v>897582.33779956773</v>
      </c>
      <c r="AG38" s="91">
        <f ca="1">+AF38/$J$49</f>
        <v>990722.55736949889</v>
      </c>
      <c r="AH38" s="91">
        <f ca="1">+AG38*$J$47</f>
        <v>23579.196865394075</v>
      </c>
      <c r="AI38" s="89">
        <f ca="1">ROUND(+AH38+AE38,5)</f>
        <v>8849084.5014200006</v>
      </c>
    </row>
    <row r="39" spans="1:46" ht="15.75">
      <c r="A39" s="52"/>
      <c r="B39" s="52"/>
      <c r="C39" s="52"/>
      <c r="D39" s="52"/>
      <c r="E39" s="52"/>
      <c r="F39" s="92">
        <f t="shared" si="0"/>
        <v>33</v>
      </c>
      <c r="G39" s="64"/>
      <c r="H39" s="64"/>
      <c r="I39" s="64"/>
      <c r="J39" s="64"/>
      <c r="K39" s="64"/>
      <c r="L39" s="64"/>
      <c r="M39" s="64"/>
      <c r="N39" s="64"/>
      <c r="O39" s="52"/>
      <c r="P39" s="52"/>
      <c r="R39" s="94">
        <v>4</v>
      </c>
      <c r="S39" s="86">
        <f ca="1">AI34/Investment*100</f>
        <v>287.62075690133253</v>
      </c>
      <c r="T39" s="98">
        <f ca="1">EXP(y_inter4-(slope*LN(S39)))</f>
        <v>6.1811520479356288</v>
      </c>
      <c r="U39" s="88">
        <f ca="1">(+S39*T39/100)/100</f>
        <v>0.17778276305494672</v>
      </c>
      <c r="V39" s="88">
        <f>regDebt_weighted</f>
        <v>3.5860000000000003E-2</v>
      </c>
      <c r="W39" s="88">
        <f ca="1">+U39-V39</f>
        <v>0.14192276305494672</v>
      </c>
      <c r="X39" s="88">
        <f ca="1">+((W39*(1-0.34))-Pfd_weighted)/Equity_percent</f>
        <v>0.2542994872565838</v>
      </c>
      <c r="Y39" s="88">
        <f ca="1">+X39*equityP</f>
        <v>0.14066562154803253</v>
      </c>
      <c r="Z39" s="88">
        <f ca="1">+Y39/(1-taxrate)</f>
        <v>0.17805774879497788</v>
      </c>
      <c r="AA39" s="88">
        <f>debtP*Debt_Rate</f>
        <v>2.2990180449074197E-2</v>
      </c>
      <c r="AB39" s="88">
        <f ca="1">+AA39+Z39</f>
        <v>0.20104792924405207</v>
      </c>
      <c r="AC39" s="88">
        <f ca="1">+AB39/(S39/100)</f>
        <v>6.9900354692766828E-2</v>
      </c>
      <c r="AD39" s="88">
        <f ca="1">1-AC39</f>
        <v>0.93009964530723321</v>
      </c>
      <c r="AE39" s="89">
        <f ca="1">expenses/(AD39)</f>
        <v>8820755.7193701249</v>
      </c>
      <c r="AF39" s="90">
        <f ca="1">+AE39-Revenue</f>
        <v>892832.75261593238</v>
      </c>
      <c r="AG39" s="91">
        <f ca="1">+AF39/$J$49</f>
        <v>985480.11778327543</v>
      </c>
      <c r="AH39" s="91">
        <f ca="1">+AG39*$J$47</f>
        <v>23454.426803241957</v>
      </c>
      <c r="AI39" s="89">
        <f ca="1">ROUND(+AH39+AE39,5)</f>
        <v>8844210.1461699996</v>
      </c>
    </row>
    <row r="40" spans="1:46" ht="15.75">
      <c r="A40" s="52"/>
      <c r="B40" s="52"/>
      <c r="C40" s="52"/>
      <c r="D40" s="52"/>
      <c r="E40" s="52"/>
      <c r="F40" s="92">
        <f t="shared" si="0"/>
        <v>34</v>
      </c>
      <c r="G40" s="145"/>
      <c r="H40" s="64"/>
      <c r="I40" s="64"/>
      <c r="J40" s="64"/>
      <c r="K40" s="64"/>
      <c r="L40" s="64"/>
      <c r="M40" s="64"/>
      <c r="N40" s="64"/>
      <c r="O40" s="52"/>
      <c r="P40" s="52"/>
      <c r="X40" s="129"/>
      <c r="Y40" s="144"/>
      <c r="Z40" s="87"/>
      <c r="AA40" s="129"/>
      <c r="AC40" s="129"/>
      <c r="AD40" s="129"/>
      <c r="AE40" s="87"/>
      <c r="AF40" s="128"/>
      <c r="AH40" s="87"/>
    </row>
    <row r="41" spans="1:46" ht="15.75">
      <c r="A41" s="52"/>
      <c r="B41" s="52"/>
      <c r="C41" s="52"/>
      <c r="D41" s="52"/>
      <c r="E41" s="52"/>
      <c r="F41" s="92">
        <f t="shared" si="0"/>
        <v>35</v>
      </c>
      <c r="G41" s="64"/>
      <c r="H41" s="138" t="s">
        <v>321</v>
      </c>
      <c r="I41" s="148"/>
      <c r="J41" s="64"/>
      <c r="K41" s="64"/>
      <c r="L41" s="64"/>
      <c r="M41" s="64"/>
      <c r="N41" s="64"/>
      <c r="O41" s="52"/>
      <c r="P41" s="52"/>
      <c r="R41" s="149" t="s">
        <v>322</v>
      </c>
      <c r="S41" s="150"/>
      <c r="T41" s="112"/>
      <c r="U41" s="112"/>
      <c r="V41" s="113"/>
      <c r="X41" s="151"/>
      <c r="Y41" s="144"/>
      <c r="Z41" s="87"/>
      <c r="AA41" s="129"/>
      <c r="AC41" s="129"/>
      <c r="AD41" s="129"/>
      <c r="AE41" s="87"/>
      <c r="AF41" s="128"/>
      <c r="AH41" s="87"/>
    </row>
    <row r="42" spans="1:46" ht="15.75">
      <c r="A42" s="52"/>
      <c r="B42" s="52"/>
      <c r="C42" s="52"/>
      <c r="D42" s="52"/>
      <c r="E42" s="52"/>
      <c r="F42" s="92">
        <f t="shared" si="0"/>
        <v>36</v>
      </c>
      <c r="G42" s="64"/>
      <c r="H42" s="64"/>
      <c r="I42" s="64"/>
      <c r="J42" s="152" t="s">
        <v>18</v>
      </c>
      <c r="K42" s="153" t="s">
        <v>73</v>
      </c>
      <c r="L42" s="64"/>
      <c r="M42" s="64"/>
      <c r="N42" s="64"/>
      <c r="O42" s="52"/>
      <c r="P42" s="52"/>
      <c r="R42" s="154" t="s">
        <v>323</v>
      </c>
      <c r="S42" s="155"/>
      <c r="V42" s="156"/>
      <c r="X42" s="129"/>
      <c r="Y42" s="144"/>
      <c r="Z42" s="87"/>
      <c r="AA42" s="129"/>
      <c r="AC42" s="129"/>
      <c r="AD42" s="129"/>
      <c r="AE42" s="87"/>
      <c r="AH42" s="87"/>
    </row>
    <row r="43" spans="1:46" ht="15.75">
      <c r="A43" s="52"/>
      <c r="B43" s="52"/>
      <c r="C43" s="52"/>
      <c r="D43" s="52"/>
      <c r="E43" s="52"/>
      <c r="F43" s="92">
        <f t="shared" si="0"/>
        <v>37</v>
      </c>
      <c r="G43" s="64"/>
      <c r="H43" s="75" t="s">
        <v>324</v>
      </c>
      <c r="I43" s="157"/>
      <c r="J43" s="158">
        <f>IF($A$65=TRUE,C11,0)</f>
        <v>1.7500000000000002E-2</v>
      </c>
      <c r="K43" s="159">
        <f ca="1">+J43*($J$7/$J$49)</f>
        <v>17337.479247270232</v>
      </c>
      <c r="L43" s="64"/>
      <c r="M43" s="64"/>
      <c r="N43" s="64"/>
      <c r="O43" s="52"/>
      <c r="P43" s="52"/>
      <c r="R43" s="93">
        <v>0</v>
      </c>
      <c r="S43" s="160">
        <v>1</v>
      </c>
      <c r="U43" s="161" t="s">
        <v>318</v>
      </c>
      <c r="V43" s="162">
        <f ca="1">VLOOKUP(R49,R36:AE39,12)</f>
        <v>7.0400902518892514E-2</v>
      </c>
      <c r="AA43" s="129"/>
      <c r="AC43" s="129"/>
      <c r="AH43" s="87"/>
      <c r="AL43" s="129"/>
      <c r="AM43" s="129"/>
      <c r="AN43" s="129"/>
      <c r="AO43" s="129"/>
      <c r="AP43" s="129"/>
      <c r="AQ43" s="129"/>
      <c r="AR43" s="129"/>
      <c r="AS43" s="129"/>
      <c r="AT43" s="129"/>
    </row>
    <row r="44" spans="1:46" ht="15.75">
      <c r="A44" s="52"/>
      <c r="B44" s="52"/>
      <c r="C44" s="52"/>
      <c r="D44" s="52"/>
      <c r="E44" s="52"/>
      <c r="F44" s="92">
        <f t="shared" si="0"/>
        <v>38</v>
      </c>
      <c r="G44" s="64"/>
      <c r="H44" s="75" t="s">
        <v>325</v>
      </c>
      <c r="I44" s="157"/>
      <c r="J44" s="158">
        <f>IF($A$65=TRUE,C12,0)</f>
        <v>5.1000000000000004E-3</v>
      </c>
      <c r="K44" s="159">
        <f ca="1">+J44*($J$7/$J$49)</f>
        <v>5052.6368092044677</v>
      </c>
      <c r="L44" s="64"/>
      <c r="M44" s="64"/>
      <c r="N44" s="64"/>
      <c r="O44" s="52"/>
      <c r="P44" s="52"/>
      <c r="R44" s="93">
        <v>50</v>
      </c>
      <c r="S44" s="160">
        <v>2</v>
      </c>
      <c r="U44" s="161" t="s">
        <v>272</v>
      </c>
      <c r="V44" s="162">
        <f ca="1">ROUND(1-V43,5)</f>
        <v>0.92959999999999998</v>
      </c>
      <c r="Y44" s="163"/>
      <c r="Z44" s="66"/>
      <c r="AA44" s="66"/>
      <c r="AC44" s="129"/>
      <c r="AF44" s="128"/>
      <c r="AH44" s="87"/>
      <c r="AL44" s="129"/>
      <c r="AM44" s="129"/>
      <c r="AN44" s="129"/>
      <c r="AO44" s="129"/>
      <c r="AP44" s="129"/>
      <c r="AQ44" s="129"/>
      <c r="AR44" s="129"/>
      <c r="AS44" s="129"/>
      <c r="AT44" s="129"/>
    </row>
    <row r="45" spans="1:46" ht="15.75">
      <c r="A45" s="52"/>
      <c r="B45" s="52"/>
      <c r="C45" s="52"/>
      <c r="D45" s="52"/>
      <c r="E45" s="52"/>
      <c r="F45" s="92">
        <f t="shared" si="0"/>
        <v>39</v>
      </c>
      <c r="G45" s="64"/>
      <c r="H45" s="75" t="s">
        <v>326</v>
      </c>
      <c r="I45" s="157"/>
      <c r="J45" s="158">
        <f>IF($A$65=TRUE,C13,0)</f>
        <v>0</v>
      </c>
      <c r="K45" s="159">
        <f ca="1">+J45*($J$7/$J$49)</f>
        <v>0</v>
      </c>
      <c r="L45" s="64"/>
      <c r="M45" s="64"/>
      <c r="N45" s="64"/>
      <c r="O45" s="52"/>
      <c r="P45" s="52"/>
      <c r="R45" s="93">
        <v>125</v>
      </c>
      <c r="S45" s="160">
        <v>3</v>
      </c>
      <c r="U45" s="61" t="s">
        <v>327</v>
      </c>
      <c r="V45" s="164">
        <f ca="1">+M7/Revenue-1</f>
        <v>0.11619092983597801</v>
      </c>
      <c r="W45" s="91"/>
      <c r="X45" s="129"/>
      <c r="Y45" s="163"/>
      <c r="Z45" s="87"/>
      <c r="AA45" s="129"/>
      <c r="AC45" s="129"/>
      <c r="AD45" s="129"/>
      <c r="AE45" s="87"/>
      <c r="AF45" s="128"/>
      <c r="AH45" s="87"/>
      <c r="AL45" s="129"/>
      <c r="AM45" s="129"/>
      <c r="AN45" s="129"/>
      <c r="AO45" s="129"/>
      <c r="AP45" s="129"/>
      <c r="AQ45" s="129"/>
      <c r="AR45" s="129"/>
      <c r="AS45" s="129"/>
      <c r="AT45" s="129"/>
    </row>
    <row r="46" spans="1:46" ht="15.75">
      <c r="A46" s="52"/>
      <c r="B46" s="52"/>
      <c r="C46" s="52"/>
      <c r="D46" s="52"/>
      <c r="E46" s="52"/>
      <c r="F46" s="92">
        <f t="shared" si="0"/>
        <v>40</v>
      </c>
      <c r="G46" s="64"/>
      <c r="H46" s="75" t="s">
        <v>328</v>
      </c>
      <c r="I46" s="157"/>
      <c r="J46" s="158">
        <f>IF($A$65=TRUE,C14,0)</f>
        <v>1.1999999999999999E-3</v>
      </c>
      <c r="K46" s="159">
        <f ca="1">+J46*($J$7/$J$49)</f>
        <v>1188.8557198128158</v>
      </c>
      <c r="L46" s="64"/>
      <c r="M46" s="64"/>
      <c r="N46" s="64"/>
      <c r="O46" s="52"/>
      <c r="P46" s="52"/>
      <c r="R46" s="94">
        <v>401</v>
      </c>
      <c r="S46" s="165">
        <v>4</v>
      </c>
      <c r="T46" s="121"/>
      <c r="U46" s="121"/>
      <c r="V46" s="122"/>
      <c r="X46" s="129"/>
      <c r="Y46" s="144"/>
      <c r="Z46" s="87"/>
      <c r="AA46" s="129"/>
      <c r="AC46" s="129"/>
      <c r="AD46" s="129"/>
      <c r="AE46" s="87"/>
      <c r="AF46" s="128"/>
      <c r="AH46" s="87"/>
      <c r="AL46" s="129"/>
      <c r="AM46" s="129"/>
      <c r="AN46" s="129"/>
      <c r="AO46" s="129"/>
      <c r="AP46" s="129"/>
      <c r="AQ46" s="129"/>
      <c r="AR46" s="129"/>
      <c r="AS46" s="129"/>
      <c r="AT46" s="129"/>
    </row>
    <row r="47" spans="1:46" ht="16.5" thickBot="1">
      <c r="A47" s="52"/>
      <c r="B47" s="52"/>
      <c r="C47" s="52"/>
      <c r="D47" s="52"/>
      <c r="E47" s="52"/>
      <c r="F47" s="92">
        <f t="shared" si="0"/>
        <v>41</v>
      </c>
      <c r="G47" s="64"/>
      <c r="H47" s="75" t="s">
        <v>329</v>
      </c>
      <c r="I47" s="145"/>
      <c r="J47" s="166">
        <f>SUM(J43:J46)</f>
        <v>2.3800000000000002E-2</v>
      </c>
      <c r="K47" s="134">
        <f ca="1">+K43+K44+K45+K46</f>
        <v>23578.971776287515</v>
      </c>
      <c r="L47" s="64"/>
      <c r="M47" s="64"/>
      <c r="N47" s="64"/>
      <c r="O47" s="52"/>
      <c r="P47" s="52"/>
      <c r="R47" s="93"/>
      <c r="S47" s="66"/>
      <c r="X47" s="129"/>
      <c r="Y47" s="144"/>
      <c r="Z47" s="87"/>
      <c r="AA47" s="129"/>
      <c r="AC47" s="129"/>
      <c r="AD47" s="129"/>
      <c r="AE47" s="87"/>
      <c r="AF47" s="128"/>
      <c r="AH47" s="87"/>
      <c r="AL47" s="129"/>
      <c r="AM47" s="129"/>
      <c r="AN47" s="129"/>
      <c r="AO47" s="129"/>
      <c r="AP47" s="129"/>
      <c r="AQ47" s="129"/>
      <c r="AR47" s="129"/>
      <c r="AS47" s="129"/>
      <c r="AT47" s="129"/>
    </row>
    <row r="48" spans="1:46" ht="16.5" thickTop="1">
      <c r="A48" s="52"/>
      <c r="B48" s="52"/>
      <c r="C48" s="52"/>
      <c r="D48" s="52"/>
      <c r="E48" s="52"/>
      <c r="F48" s="92">
        <f t="shared" si="0"/>
        <v>42</v>
      </c>
      <c r="G48" s="64"/>
      <c r="H48" s="75"/>
      <c r="I48" s="145"/>
      <c r="J48" s="158"/>
      <c r="K48" s="84"/>
      <c r="L48" s="64"/>
      <c r="M48" s="64"/>
      <c r="N48" s="64"/>
      <c r="O48" s="52"/>
      <c r="P48" s="52"/>
      <c r="R48" s="167">
        <f ca="1">VLOOKUP(R49,R36:S39,2)</f>
        <v>287.77927483132294</v>
      </c>
      <c r="S48" s="168" t="s">
        <v>330</v>
      </c>
      <c r="T48" s="113"/>
      <c r="V48" s="112"/>
      <c r="X48" s="61" t="s">
        <v>331</v>
      </c>
      <c r="AC48" s="129"/>
      <c r="AF48" s="128"/>
      <c r="AH48" s="87"/>
    </row>
    <row r="49" spans="1:46" ht="15.75">
      <c r="A49" s="52"/>
      <c r="B49" s="52"/>
      <c r="C49" s="52"/>
      <c r="D49" s="52"/>
      <c r="E49" s="52"/>
      <c r="F49" s="92">
        <f t="shared" si="0"/>
        <v>43</v>
      </c>
      <c r="G49" s="69"/>
      <c r="H49" s="75" t="s">
        <v>332</v>
      </c>
      <c r="I49" s="64"/>
      <c r="J49" s="141">
        <f ca="1">((K35)-J47)</f>
        <v>0.90598758564937598</v>
      </c>
      <c r="K49" s="64"/>
      <c r="L49" s="64"/>
      <c r="M49" s="64"/>
      <c r="N49" s="64"/>
      <c r="O49" s="52"/>
      <c r="P49" s="52"/>
      <c r="R49" s="93">
        <f ca="1">VLOOKUP(S36,R43:S46,2)</f>
        <v>3</v>
      </c>
      <c r="S49" s="169" t="s">
        <v>333</v>
      </c>
      <c r="T49" s="156"/>
      <c r="X49" s="61" t="s">
        <v>334</v>
      </c>
      <c r="AA49" s="66"/>
      <c r="AC49" s="129"/>
      <c r="AH49" s="87"/>
    </row>
    <row r="50" spans="1:46">
      <c r="A50" s="52"/>
      <c r="B50" s="52"/>
      <c r="C50" s="52"/>
      <c r="D50" s="52"/>
      <c r="E50" s="52"/>
      <c r="F50" s="52"/>
      <c r="G50" s="52"/>
      <c r="H50" s="52"/>
      <c r="I50" s="52"/>
      <c r="J50" s="52"/>
      <c r="K50" s="170"/>
      <c r="L50" s="52"/>
      <c r="M50" s="52"/>
      <c r="N50" s="171"/>
      <c r="O50" s="52"/>
      <c r="P50" s="52"/>
      <c r="R50" s="93"/>
      <c r="T50" s="156"/>
      <c r="X50" s="61" t="s">
        <v>335</v>
      </c>
      <c r="AA50" s="129"/>
      <c r="AC50" s="129"/>
      <c r="AD50" s="129"/>
      <c r="AE50" s="87"/>
      <c r="AH50" s="87"/>
    </row>
    <row r="51" spans="1:46">
      <c r="A51" s="52"/>
      <c r="B51" s="52"/>
      <c r="C51" s="52"/>
      <c r="D51" s="52"/>
      <c r="E51" s="52"/>
      <c r="F51" s="52"/>
      <c r="G51" s="52"/>
      <c r="H51" s="52"/>
      <c r="I51" s="52"/>
      <c r="J51" s="52"/>
      <c r="K51" s="170"/>
      <c r="L51" s="52"/>
      <c r="M51" s="52"/>
      <c r="N51" s="171"/>
      <c r="O51" s="52"/>
      <c r="P51" s="52"/>
      <c r="R51" s="172">
        <f ca="1">+V44</f>
        <v>0.92959999999999998</v>
      </c>
      <c r="S51" s="121" t="s">
        <v>272</v>
      </c>
      <c r="T51" s="173"/>
      <c r="X51" s="61" t="s">
        <v>336</v>
      </c>
      <c r="AA51" s="129"/>
      <c r="AC51" s="129"/>
      <c r="AD51" s="129"/>
      <c r="AE51" s="87"/>
      <c r="AF51" s="129"/>
      <c r="AH51" s="87"/>
      <c r="AL51" s="129"/>
      <c r="AM51" s="129"/>
      <c r="AN51" s="129"/>
      <c r="AO51" s="129"/>
      <c r="AP51" s="129"/>
      <c r="AQ51" s="129"/>
      <c r="AR51" s="129"/>
      <c r="AS51" s="129"/>
      <c r="AT51" s="129"/>
    </row>
    <row r="52" spans="1:46">
      <c r="A52" s="52"/>
      <c r="B52" s="52"/>
      <c r="C52" s="52"/>
      <c r="D52" s="52"/>
      <c r="E52" s="52"/>
      <c r="F52" s="52"/>
      <c r="G52" s="52"/>
      <c r="H52" s="52"/>
      <c r="I52" s="52"/>
      <c r="J52" s="52"/>
      <c r="K52" s="52"/>
      <c r="L52" s="52"/>
      <c r="M52" s="52"/>
      <c r="N52" s="52"/>
      <c r="O52" s="52"/>
      <c r="P52" s="52"/>
      <c r="Z52" s="87"/>
      <c r="AA52" s="129"/>
      <c r="AC52" s="129"/>
      <c r="AD52" s="129"/>
      <c r="AE52" s="87"/>
      <c r="AF52" s="128"/>
      <c r="AH52" s="87"/>
      <c r="AL52" s="129"/>
      <c r="AM52" s="129"/>
      <c r="AN52" s="129"/>
      <c r="AO52" s="129"/>
      <c r="AP52" s="129"/>
      <c r="AQ52" s="129"/>
      <c r="AR52" s="129"/>
      <c r="AS52" s="129"/>
      <c r="AT52" s="129"/>
    </row>
    <row r="53" spans="1:46">
      <c r="A53" s="52"/>
      <c r="B53" s="52"/>
      <c r="C53" s="52"/>
      <c r="D53" s="52"/>
      <c r="E53" s="52"/>
      <c r="F53" s="52"/>
      <c r="G53" s="52"/>
      <c r="H53" s="52"/>
      <c r="I53" s="52"/>
      <c r="J53" s="174"/>
      <c r="K53" s="174"/>
      <c r="L53" s="174"/>
      <c r="M53" s="174"/>
      <c r="N53" s="52"/>
      <c r="O53" s="52"/>
      <c r="P53" s="52"/>
      <c r="R53" s="61"/>
      <c r="Z53" s="87"/>
      <c r="AA53" s="129"/>
      <c r="AC53" s="129"/>
      <c r="AD53" s="129"/>
      <c r="AE53" s="87"/>
      <c r="AF53" s="128"/>
      <c r="AH53" s="87"/>
      <c r="AL53" s="129"/>
      <c r="AM53" s="129"/>
      <c r="AN53" s="129"/>
      <c r="AO53" s="129"/>
      <c r="AP53" s="129"/>
      <c r="AQ53" s="129"/>
      <c r="AR53" s="129"/>
      <c r="AS53" s="129"/>
      <c r="AT53" s="129"/>
    </row>
    <row r="54" spans="1:46" ht="15.75">
      <c r="A54" s="52"/>
      <c r="B54" s="52"/>
      <c r="C54" s="52"/>
      <c r="D54" s="52"/>
      <c r="E54" s="52"/>
      <c r="F54" s="52"/>
      <c r="G54" s="52"/>
      <c r="H54" s="52"/>
      <c r="I54" s="52"/>
      <c r="J54" s="52"/>
      <c r="K54" s="174"/>
      <c r="L54" s="174"/>
      <c r="M54" s="174"/>
      <c r="N54" s="52"/>
      <c r="O54" s="52"/>
      <c r="P54" s="52"/>
      <c r="R54" s="61"/>
      <c r="S54" s="61" t="s">
        <v>337</v>
      </c>
      <c r="T54" s="129"/>
      <c r="U54" s="175"/>
      <c r="W54" s="176" t="s">
        <v>338</v>
      </c>
      <c r="X54" s="177"/>
      <c r="Y54" s="177"/>
      <c r="Z54" s="177"/>
      <c r="AC54" s="129"/>
      <c r="AF54" s="128"/>
      <c r="AH54" s="87"/>
      <c r="AL54" s="129"/>
      <c r="AM54" s="129"/>
      <c r="AN54" s="129"/>
      <c r="AO54" s="129"/>
      <c r="AP54" s="129"/>
      <c r="AQ54" s="129"/>
      <c r="AR54" s="129"/>
      <c r="AS54" s="129"/>
      <c r="AT54" s="129"/>
    </row>
    <row r="55" spans="1:46">
      <c r="A55" s="52"/>
      <c r="B55" s="52"/>
      <c r="C55" s="52"/>
      <c r="D55" s="52"/>
      <c r="E55" s="52"/>
      <c r="F55" s="52"/>
      <c r="G55" s="52"/>
      <c r="H55" s="52"/>
      <c r="I55" s="52"/>
      <c r="J55" s="52"/>
      <c r="K55" s="52"/>
      <c r="L55" s="178"/>
      <c r="M55" s="178"/>
      <c r="N55" s="52"/>
      <c r="O55" s="52"/>
      <c r="P55" s="52"/>
      <c r="R55" s="179"/>
      <c r="S55" s="180" t="s">
        <v>306</v>
      </c>
      <c r="T55" s="180" t="s">
        <v>26</v>
      </c>
      <c r="U55" s="181" t="s">
        <v>308</v>
      </c>
      <c r="W55" s="182" t="s">
        <v>339</v>
      </c>
      <c r="X55" s="183">
        <v>5.7225999999999999</v>
      </c>
      <c r="Y55" s="184" t="s">
        <v>340</v>
      </c>
      <c r="Z55" s="185">
        <v>5.6985000000000001</v>
      </c>
      <c r="AA55" s="66"/>
      <c r="AC55" s="129"/>
      <c r="AH55" s="87"/>
    </row>
    <row r="56" spans="1:46">
      <c r="A56" s="52"/>
      <c r="B56" s="52"/>
      <c r="C56" s="52"/>
      <c r="D56" s="52"/>
      <c r="E56" s="52"/>
      <c r="F56" s="52"/>
      <c r="G56" s="52"/>
      <c r="H56" s="52"/>
      <c r="I56" s="52"/>
      <c r="J56" s="178"/>
      <c r="K56" s="52"/>
      <c r="L56" s="178"/>
      <c r="M56" s="178"/>
      <c r="N56" s="52"/>
      <c r="O56" s="52"/>
      <c r="P56" s="52"/>
      <c r="R56" s="62" t="s">
        <v>96</v>
      </c>
      <c r="S56" s="186">
        <v>0.56200000000000006</v>
      </c>
      <c r="T56" s="186">
        <v>6.3799999999999996E-2</v>
      </c>
      <c r="U56" s="162">
        <f>ROUND(+S56*T56,5)</f>
        <v>3.5860000000000003E-2</v>
      </c>
      <c r="W56" s="187" t="s">
        <v>341</v>
      </c>
      <c r="X56" s="188">
        <v>5.7082699999999997</v>
      </c>
      <c r="Y56" s="189" t="s">
        <v>342</v>
      </c>
      <c r="Z56" s="190">
        <v>5.6921999999999997</v>
      </c>
      <c r="AA56" s="129"/>
      <c r="AC56" s="129"/>
      <c r="AD56" s="129"/>
      <c r="AE56" s="87"/>
      <c r="AH56" s="87"/>
    </row>
    <row r="57" spans="1:46">
      <c r="A57" s="52"/>
      <c r="B57" s="52"/>
      <c r="C57" s="52"/>
      <c r="D57" s="52"/>
      <c r="E57" s="174"/>
      <c r="F57" s="52"/>
      <c r="G57" s="52"/>
      <c r="H57" s="52"/>
      <c r="I57" s="52"/>
      <c r="J57" s="178"/>
      <c r="K57" s="52"/>
      <c r="L57" s="178"/>
      <c r="M57" s="178"/>
      <c r="N57" s="52"/>
      <c r="O57" s="52"/>
      <c r="P57" s="52"/>
      <c r="R57" s="62" t="s">
        <v>343</v>
      </c>
      <c r="S57" s="186">
        <v>9.4E-2</v>
      </c>
      <c r="T57" s="186">
        <v>6.59E-2</v>
      </c>
      <c r="U57" s="162">
        <f>ROUND(+S57*T57,5)</f>
        <v>6.1900000000000002E-3</v>
      </c>
      <c r="W57" s="62"/>
      <c r="Y57" s="191"/>
      <c r="Z57" s="192"/>
      <c r="AA57" s="129"/>
      <c r="AC57" s="129"/>
      <c r="AD57" s="129"/>
      <c r="AE57" s="87"/>
      <c r="AF57" s="128"/>
      <c r="AH57" s="87"/>
      <c r="AL57" s="129"/>
    </row>
    <row r="58" spans="1:46" ht="15.75">
      <c r="A58" s="52"/>
      <c r="B58" s="52"/>
      <c r="C58" s="52"/>
      <c r="D58" s="52"/>
      <c r="E58" s="174"/>
      <c r="F58" s="174"/>
      <c r="G58" s="174"/>
      <c r="H58" s="193"/>
      <c r="I58" s="174"/>
      <c r="J58" s="178"/>
      <c r="K58" s="52"/>
      <c r="L58" s="52"/>
      <c r="M58" s="52"/>
      <c r="N58" s="52"/>
      <c r="O58" s="52"/>
      <c r="P58" s="52"/>
      <c r="R58" s="62" t="s">
        <v>92</v>
      </c>
      <c r="S58" s="194">
        <v>0.34399999999999997</v>
      </c>
      <c r="T58" s="195"/>
      <c r="U58" s="196"/>
      <c r="W58" s="120"/>
      <c r="X58" s="197" t="s">
        <v>344</v>
      </c>
      <c r="Y58" s="198">
        <v>0.68367</v>
      </c>
      <c r="Z58" s="199"/>
      <c r="AA58" s="129"/>
      <c r="AC58" s="129"/>
      <c r="AD58" s="129"/>
      <c r="AE58" s="87"/>
      <c r="AF58" s="128"/>
      <c r="AH58" s="87"/>
    </row>
    <row r="59" spans="1:46" ht="15.75">
      <c r="A59" s="52"/>
      <c r="B59" s="52"/>
      <c r="C59" s="52"/>
      <c r="D59" s="52"/>
      <c r="E59" s="52"/>
      <c r="F59" s="52"/>
      <c r="G59" s="52"/>
      <c r="H59" s="52"/>
      <c r="I59" s="52"/>
      <c r="J59" s="52"/>
      <c r="K59" s="52"/>
      <c r="L59" s="52"/>
      <c r="M59" s="52"/>
      <c r="N59" s="52"/>
      <c r="O59" s="52"/>
      <c r="P59" s="52"/>
      <c r="R59" s="120"/>
      <c r="S59" s="194">
        <f>SUM(S56:S58)</f>
        <v>1</v>
      </c>
      <c r="T59" s="200"/>
      <c r="U59" s="201"/>
      <c r="X59" s="129"/>
      <c r="Y59" s="144"/>
      <c r="Z59" s="87"/>
      <c r="AA59" s="129"/>
      <c r="AC59" s="129"/>
      <c r="AD59" s="129"/>
      <c r="AE59" s="87"/>
      <c r="AF59" s="128"/>
      <c r="AH59" s="87"/>
    </row>
    <row r="60" spans="1:46">
      <c r="A60" s="52"/>
      <c r="B60" s="52"/>
      <c r="C60" s="52"/>
      <c r="D60" s="52"/>
      <c r="E60" s="52"/>
      <c r="F60" s="52"/>
      <c r="G60" s="52"/>
      <c r="H60" s="52"/>
      <c r="I60" s="52"/>
      <c r="J60" s="52"/>
      <c r="K60" s="52"/>
      <c r="L60" s="52"/>
      <c r="M60" s="52"/>
      <c r="N60" s="52"/>
      <c r="O60" s="52"/>
      <c r="P60" s="52"/>
      <c r="X60" s="202"/>
      <c r="AC60" s="129"/>
      <c r="AF60" s="128"/>
      <c r="AH60" s="87"/>
      <c r="AL60" s="128"/>
      <c r="AM60" s="128"/>
      <c r="AN60" s="128"/>
      <c r="AO60" s="128"/>
      <c r="AP60" s="128"/>
      <c r="AQ60" s="128"/>
      <c r="AR60" s="128"/>
      <c r="AS60" s="128"/>
      <c r="AT60" s="128"/>
    </row>
    <row r="61" spans="1:46">
      <c r="A61" s="52"/>
      <c r="B61" s="52"/>
      <c r="C61" s="52"/>
      <c r="D61" s="52"/>
      <c r="E61" s="174"/>
      <c r="F61" s="52"/>
      <c r="G61" s="52"/>
      <c r="H61" s="52"/>
      <c r="I61" s="52"/>
      <c r="J61" s="52"/>
      <c r="K61" s="52"/>
      <c r="L61" s="52"/>
      <c r="M61" s="52"/>
      <c r="N61" s="52"/>
      <c r="O61" s="52"/>
      <c r="P61" s="52"/>
      <c r="W61" s="179" t="s">
        <v>313</v>
      </c>
      <c r="X61" s="203"/>
      <c r="Y61" s="112" t="s">
        <v>345</v>
      </c>
      <c r="Z61" s="113" t="s">
        <v>254</v>
      </c>
      <c r="AC61" s="129"/>
      <c r="AH61" s="87"/>
      <c r="AL61" s="128"/>
      <c r="AM61" s="128"/>
      <c r="AN61" s="128"/>
      <c r="AO61" s="128"/>
      <c r="AP61" s="128"/>
      <c r="AQ61" s="128"/>
      <c r="AR61" s="128"/>
      <c r="AS61" s="128"/>
      <c r="AT61" s="128"/>
    </row>
    <row r="62" spans="1:46">
      <c r="A62" s="52"/>
      <c r="B62" s="52"/>
      <c r="C62" s="52"/>
      <c r="D62" s="52"/>
      <c r="E62" s="52"/>
      <c r="F62" s="174"/>
      <c r="G62" s="174"/>
      <c r="H62" s="174"/>
      <c r="I62" s="174"/>
      <c r="J62" s="174"/>
      <c r="K62" s="174"/>
      <c r="L62" s="174"/>
      <c r="M62" s="174"/>
      <c r="N62" s="174"/>
      <c r="O62" s="52"/>
      <c r="P62" s="52"/>
      <c r="W62" s="204"/>
      <c r="X62" s="205"/>
      <c r="Y62" s="205"/>
      <c r="Z62" s="206"/>
      <c r="AC62" s="129"/>
      <c r="AD62" s="129"/>
      <c r="AE62" s="87"/>
      <c r="AH62" s="87"/>
      <c r="AL62" s="128"/>
      <c r="AM62" s="128"/>
      <c r="AN62" s="128"/>
      <c r="AO62" s="128"/>
      <c r="AP62" s="128"/>
      <c r="AQ62" s="128"/>
      <c r="AR62" s="128"/>
      <c r="AS62" s="128"/>
      <c r="AT62" s="128"/>
    </row>
    <row r="63" spans="1:46">
      <c r="A63" s="52"/>
      <c r="B63" s="52"/>
      <c r="C63" s="52"/>
      <c r="D63" s="52"/>
      <c r="E63" s="52"/>
      <c r="F63" s="52"/>
      <c r="G63" s="52"/>
      <c r="H63" s="52"/>
      <c r="I63" s="52"/>
      <c r="J63" s="52"/>
      <c r="K63" s="52"/>
      <c r="L63" s="52"/>
      <c r="M63" s="52"/>
      <c r="N63" s="52"/>
      <c r="O63" s="52"/>
      <c r="P63" s="52"/>
      <c r="W63" s="62" t="s">
        <v>315</v>
      </c>
      <c r="X63" s="205"/>
      <c r="Y63" s="162">
        <f t="shared" ref="Y63:Z68" ca="1" si="1">+J33</f>
        <v>0.20205657651950482</v>
      </c>
      <c r="Z63" s="162">
        <f t="shared" ca="1" si="1"/>
        <v>0.16445263334471438</v>
      </c>
      <c r="AC63" s="129"/>
      <c r="AD63" s="129"/>
      <c r="AE63" s="87"/>
      <c r="AF63" s="128"/>
      <c r="AH63" s="87"/>
      <c r="AL63" s="128"/>
      <c r="AM63" s="128"/>
      <c r="AN63" s="128"/>
      <c r="AO63" s="128"/>
      <c r="AP63" s="128"/>
      <c r="AQ63" s="128"/>
      <c r="AR63" s="128"/>
      <c r="AS63" s="128"/>
      <c r="AT63" s="128"/>
    </row>
    <row r="64" spans="1:46">
      <c r="A64" s="52"/>
      <c r="B64" s="52"/>
      <c r="C64" s="52"/>
      <c r="D64" s="52"/>
      <c r="E64" s="52"/>
      <c r="F64" s="52"/>
      <c r="G64" s="52"/>
      <c r="H64" s="52"/>
      <c r="I64" s="52"/>
      <c r="J64" s="52"/>
      <c r="K64" s="52"/>
      <c r="L64" s="52"/>
      <c r="M64" s="52"/>
      <c r="N64" s="52"/>
      <c r="O64" s="52"/>
      <c r="P64" s="52"/>
      <c r="W64" s="62" t="s">
        <v>316</v>
      </c>
      <c r="X64" s="205"/>
      <c r="Y64" s="162">
        <f t="shared" ca="1" si="1"/>
        <v>0.32372154762807975</v>
      </c>
      <c r="Z64" s="162">
        <f t="shared" ca="1" si="1"/>
        <v>0.25574002262618306</v>
      </c>
      <c r="AC64" s="129"/>
      <c r="AD64" s="129"/>
      <c r="AE64" s="87"/>
      <c r="AF64" s="128"/>
      <c r="AH64" s="87"/>
    </row>
    <row r="65" spans="1:38">
      <c r="A65" s="61" t="b">
        <v>1</v>
      </c>
      <c r="F65" s="52"/>
      <c r="G65" s="52"/>
      <c r="H65" s="52"/>
      <c r="I65" s="52"/>
      <c r="J65" s="52"/>
      <c r="K65" s="52"/>
      <c r="L65" s="52"/>
      <c r="M65" s="52"/>
      <c r="N65" s="52"/>
      <c r="W65" s="62" t="s">
        <v>272</v>
      </c>
      <c r="X65" s="205"/>
      <c r="Y65" s="162">
        <f t="shared" ca="1" si="1"/>
        <v>0.92959999999999987</v>
      </c>
      <c r="Z65" s="162">
        <f t="shared" ca="1" si="1"/>
        <v>0.92978758564937602</v>
      </c>
      <c r="AC65" s="129"/>
      <c r="AD65" s="129"/>
      <c r="AE65" s="87"/>
      <c r="AF65" s="128"/>
      <c r="AH65" s="87"/>
    </row>
    <row r="66" spans="1:38">
      <c r="H66" s="128"/>
      <c r="I66" s="128"/>
      <c r="J66" s="128"/>
      <c r="K66" s="128"/>
      <c r="L66" s="128"/>
      <c r="M66" s="128"/>
      <c r="N66" s="128"/>
      <c r="O66" s="128"/>
      <c r="W66" s="62" t="s">
        <v>318</v>
      </c>
      <c r="X66" s="205"/>
      <c r="Y66" s="162">
        <f t="shared" ca="1" si="1"/>
        <v>7.0400000000000101E-2</v>
      </c>
      <c r="Z66" s="162">
        <f t="shared" ca="1" si="1"/>
        <v>7.0400000000000101E-2</v>
      </c>
      <c r="AC66" s="129"/>
      <c r="AF66" s="128"/>
      <c r="AH66" s="87"/>
      <c r="AL66" s="128"/>
    </row>
    <row r="67" spans="1:38">
      <c r="H67" s="128"/>
      <c r="I67" s="128"/>
      <c r="J67" s="128"/>
      <c r="K67" s="128"/>
      <c r="L67" s="128"/>
      <c r="M67" s="128"/>
      <c r="N67" s="128"/>
      <c r="O67" s="128"/>
      <c r="W67" s="62" t="s">
        <v>319</v>
      </c>
      <c r="X67" s="208"/>
      <c r="Y67" s="162">
        <f t="shared" ca="1" si="1"/>
        <v>2.8762075690133253</v>
      </c>
      <c r="Z67" s="162">
        <f t="shared" ca="1" si="1"/>
        <v>2.8762075690133253</v>
      </c>
      <c r="AC67" s="129"/>
      <c r="AH67" s="87"/>
    </row>
    <row r="68" spans="1:38">
      <c r="O68" s="128"/>
      <c r="W68" s="62" t="s">
        <v>320</v>
      </c>
      <c r="X68" s="78"/>
      <c r="Y68" s="162">
        <f t="shared" si="1"/>
        <v>0.21</v>
      </c>
      <c r="Z68" s="162">
        <f t="shared" si="1"/>
        <v>0.21</v>
      </c>
      <c r="AC68" s="129"/>
      <c r="AD68" s="129"/>
      <c r="AE68" s="87"/>
      <c r="AH68" s="87"/>
    </row>
    <row r="69" spans="1:38" ht="15.75">
      <c r="O69" s="128"/>
      <c r="W69" s="62"/>
      <c r="Y69" s="195"/>
      <c r="Z69" s="209"/>
      <c r="AC69" s="129"/>
      <c r="AD69" s="129"/>
      <c r="AE69" s="87"/>
      <c r="AF69" s="128"/>
      <c r="AH69" s="87"/>
    </row>
    <row r="70" spans="1:38">
      <c r="O70" s="128"/>
      <c r="W70" s="120"/>
      <c r="X70" s="210"/>
      <c r="Y70" s="211"/>
      <c r="Z70" s="212"/>
      <c r="AA70" s="129"/>
      <c r="AC70" s="129"/>
      <c r="AD70" s="129"/>
      <c r="AE70" s="87"/>
      <c r="AF70" s="128"/>
      <c r="AH70" s="87"/>
    </row>
    <row r="71" spans="1:38">
      <c r="X71" s="129"/>
      <c r="Y71" s="144"/>
      <c r="Z71" s="87"/>
      <c r="AA71" s="129"/>
      <c r="AC71" s="129"/>
      <c r="AD71" s="129"/>
      <c r="AE71" s="87"/>
      <c r="AF71" s="128"/>
      <c r="AH71" s="87"/>
    </row>
    <row r="72" spans="1:38">
      <c r="AC72" s="129"/>
      <c r="AF72" s="128"/>
      <c r="AH72" s="87"/>
    </row>
    <row r="73" spans="1:38">
      <c r="Y73" s="66"/>
      <c r="Z73" s="66"/>
      <c r="AA73" s="66"/>
      <c r="AC73" s="129"/>
      <c r="AH73" s="87"/>
    </row>
    <row r="74" spans="1:38">
      <c r="X74" s="129"/>
      <c r="Y74" s="144"/>
      <c r="Z74" s="87"/>
      <c r="AA74" s="129"/>
      <c r="AC74" s="129"/>
      <c r="AD74" s="129"/>
      <c r="AE74" s="87"/>
      <c r="AH74" s="87"/>
    </row>
    <row r="75" spans="1:38">
      <c r="X75" s="129"/>
      <c r="Y75" s="144"/>
      <c r="Z75" s="87"/>
      <c r="AA75" s="129"/>
      <c r="AC75" s="129"/>
      <c r="AD75" s="129"/>
      <c r="AE75" s="87"/>
      <c r="AF75" s="128"/>
      <c r="AH75" s="87"/>
    </row>
    <row r="76" spans="1:38">
      <c r="X76" s="129"/>
      <c r="Y76" s="144"/>
      <c r="Z76" s="87"/>
      <c r="AA76" s="129"/>
      <c r="AC76" s="129"/>
      <c r="AD76" s="129"/>
      <c r="AE76" s="87"/>
      <c r="AF76" s="128"/>
      <c r="AH76" s="87"/>
    </row>
    <row r="77" spans="1:38">
      <c r="X77" s="129"/>
      <c r="Y77" s="144"/>
      <c r="Z77" s="87"/>
      <c r="AA77" s="129"/>
      <c r="AC77" s="129"/>
      <c r="AD77" s="129"/>
      <c r="AE77" s="87"/>
      <c r="AF77" s="128"/>
      <c r="AH77" s="87"/>
    </row>
    <row r="78" spans="1:38">
      <c r="AC78" s="129"/>
      <c r="AF78" s="128"/>
      <c r="AH78" s="87"/>
    </row>
    <row r="80" spans="1:38">
      <c r="X80" s="129"/>
      <c r="Y80" s="144"/>
      <c r="Z80" s="87"/>
      <c r="AA80" s="129"/>
      <c r="AD80" s="129"/>
      <c r="AE80" s="87"/>
    </row>
    <row r="81" spans="24:32">
      <c r="X81" s="129"/>
      <c r="Y81" s="144"/>
      <c r="Z81" s="87"/>
      <c r="AA81" s="129"/>
      <c r="AD81" s="129"/>
      <c r="AE81" s="87"/>
      <c r="AF81" s="128"/>
    </row>
    <row r="82" spans="24:32">
      <c r="X82" s="129"/>
      <c r="Y82" s="144"/>
      <c r="Z82" s="87"/>
      <c r="AA82" s="129"/>
      <c r="AD82" s="129"/>
      <c r="AE82" s="87"/>
      <c r="AF82" s="128"/>
    </row>
    <row r="83" spans="24:32">
      <c r="X83" s="129"/>
      <c r="Y83" s="144"/>
      <c r="Z83" s="87"/>
      <c r="AA83" s="129"/>
      <c r="AD83" s="129"/>
      <c r="AE83" s="87"/>
      <c r="AF83" s="128"/>
    </row>
    <row r="84" spans="24:32">
      <c r="AF84" s="128"/>
    </row>
    <row r="86" spans="24:32">
      <c r="X86" s="129"/>
      <c r="Y86" s="144"/>
      <c r="Z86" s="87"/>
      <c r="AA86" s="129"/>
      <c r="AD86" s="129"/>
      <c r="AE86" s="87"/>
    </row>
    <row r="87" spans="24:32">
      <c r="X87" s="129"/>
      <c r="Y87" s="144"/>
      <c r="Z87" s="87"/>
      <c r="AA87" s="129"/>
      <c r="AD87" s="129"/>
      <c r="AE87" s="87"/>
      <c r="AF87" s="128"/>
    </row>
    <row r="88" spans="24:32">
      <c r="X88" s="129"/>
      <c r="Y88" s="144"/>
      <c r="Z88" s="87"/>
      <c r="AA88" s="129"/>
      <c r="AD88" s="129"/>
      <c r="AE88" s="87"/>
      <c r="AF88" s="128"/>
    </row>
    <row r="89" spans="24:32">
      <c r="X89" s="129"/>
      <c r="Y89" s="144"/>
      <c r="Z89" s="87"/>
      <c r="AA89" s="129"/>
      <c r="AD89" s="129"/>
      <c r="AE89" s="87"/>
      <c r="AF89" s="128"/>
    </row>
    <row r="90" spans="24:32">
      <c r="AF90" s="128"/>
    </row>
    <row r="92" spans="24:32">
      <c r="X92" s="129"/>
      <c r="Y92" s="144"/>
      <c r="Z92" s="87"/>
      <c r="AA92" s="129"/>
      <c r="AD92" s="129"/>
      <c r="AE92" s="87"/>
    </row>
    <row r="93" spans="24:32">
      <c r="X93" s="129"/>
      <c r="Y93" s="144"/>
      <c r="Z93" s="87"/>
      <c r="AA93" s="129"/>
      <c r="AD93" s="129"/>
      <c r="AE93" s="87"/>
      <c r="AF93" s="128"/>
    </row>
    <row r="94" spans="24:32">
      <c r="X94" s="129"/>
      <c r="Y94" s="144"/>
      <c r="Z94" s="87"/>
      <c r="AA94" s="129"/>
      <c r="AD94" s="129"/>
      <c r="AE94" s="87"/>
      <c r="AF94" s="128"/>
    </row>
    <row r="95" spans="24:32">
      <c r="X95" s="129"/>
      <c r="Y95" s="144"/>
      <c r="Z95" s="87"/>
      <c r="AA95" s="129"/>
      <c r="AD95" s="129"/>
      <c r="AE95" s="87"/>
      <c r="AF95" s="128"/>
    </row>
    <row r="96" spans="24:32">
      <c r="AF96" s="128"/>
    </row>
    <row r="98" spans="24:32">
      <c r="X98" s="129"/>
      <c r="Y98" s="144"/>
      <c r="Z98" s="87"/>
      <c r="AA98" s="129"/>
      <c r="AD98" s="129"/>
      <c r="AE98" s="87"/>
    </row>
    <row r="99" spans="24:32">
      <c r="X99" s="129"/>
      <c r="Y99" s="144"/>
      <c r="Z99" s="87"/>
      <c r="AA99" s="129"/>
      <c r="AD99" s="129"/>
      <c r="AE99" s="87"/>
      <c r="AF99" s="128"/>
    </row>
    <row r="100" spans="24:32">
      <c r="X100" s="129"/>
      <c r="Y100" s="144"/>
      <c r="Z100" s="87"/>
      <c r="AA100" s="129"/>
      <c r="AD100" s="129"/>
      <c r="AE100" s="87"/>
      <c r="AF100" s="128"/>
    </row>
    <row r="101" spans="24:32">
      <c r="X101" s="129"/>
      <c r="Y101" s="144"/>
      <c r="Z101" s="87"/>
      <c r="AA101" s="129"/>
      <c r="AD101" s="129"/>
      <c r="AE101" s="87"/>
      <c r="AF101" s="128"/>
    </row>
    <row r="102" spans="24:32">
      <c r="AF102" s="128"/>
    </row>
    <row r="104" spans="24:32">
      <c r="X104" s="129"/>
      <c r="Y104" s="144"/>
      <c r="Z104" s="87"/>
      <c r="AA104" s="129"/>
      <c r="AD104" s="129"/>
      <c r="AE104" s="87"/>
    </row>
    <row r="105" spans="24:32">
      <c r="X105" s="129"/>
      <c r="Y105" s="144"/>
      <c r="Z105" s="87"/>
      <c r="AA105" s="129"/>
      <c r="AD105" s="129"/>
      <c r="AE105" s="87"/>
      <c r="AF105" s="128"/>
    </row>
    <row r="106" spans="24:32">
      <c r="X106" s="129"/>
      <c r="Y106" s="144"/>
      <c r="Z106" s="87"/>
      <c r="AA106" s="129"/>
      <c r="AD106" s="129"/>
      <c r="AE106" s="87"/>
      <c r="AF106" s="128"/>
    </row>
    <row r="107" spans="24:32">
      <c r="X107" s="129"/>
      <c r="Y107" s="144"/>
      <c r="Z107" s="87"/>
      <c r="AA107" s="129"/>
      <c r="AD107" s="129"/>
      <c r="AE107" s="87"/>
      <c r="AF107" s="128"/>
    </row>
    <row r="108" spans="24:32">
      <c r="AF108" s="128"/>
    </row>
    <row r="110" spans="24:32">
      <c r="X110" s="129"/>
      <c r="Y110" s="144"/>
      <c r="Z110" s="87"/>
      <c r="AA110" s="129"/>
      <c r="AD110" s="129"/>
      <c r="AE110" s="87"/>
    </row>
    <row r="111" spans="24:32">
      <c r="X111" s="129"/>
      <c r="Y111" s="144"/>
      <c r="Z111" s="87"/>
      <c r="AA111" s="129"/>
      <c r="AD111" s="129"/>
      <c r="AE111" s="87"/>
    </row>
    <row r="112" spans="24:32">
      <c r="X112" s="129"/>
      <c r="Y112" s="144"/>
      <c r="Z112" s="87"/>
      <c r="AA112" s="129"/>
      <c r="AD112" s="129"/>
      <c r="AE112" s="87"/>
    </row>
    <row r="113" spans="24:31">
      <c r="X113" s="129"/>
      <c r="Y113" s="144"/>
      <c r="Z113" s="87"/>
      <c r="AA113" s="129"/>
      <c r="AD113" s="129"/>
      <c r="AE113" s="87"/>
    </row>
  </sheetData>
  <mergeCells count="6">
    <mergeCell ref="AF2:AI2"/>
    <mergeCell ref="B2:C2"/>
    <mergeCell ref="B17:C17"/>
    <mergeCell ref="B18:C18"/>
    <mergeCell ref="B15:C15"/>
    <mergeCell ref="C16:D16"/>
  </mergeCells>
  <pageMargins left="0.25" right="0.25" top="0.3" bottom="0.44" header="0.23" footer="0.21"/>
  <pageSetup scale="93" orientation="portrait" r:id="rId1"/>
  <headerFooter alignWithMargins="0"/>
  <drawing r:id="rId2"/>
  <legacyDrawing r:id="rId3"/>
  <controls>
    <mc:AlternateContent xmlns:mc="http://schemas.openxmlformats.org/markup-compatibility/2006">
      <mc:Choice Requires="x14">
        <control shapeId="123905" r:id="rId4" name="CheckBox1">
          <controlPr defaultSize="0" autoFill="0" autoLine="0" linkedCell="A65" r:id="rId5">
            <anchor moveWithCells="1">
              <from>
                <xdr:col>2</xdr:col>
                <xdr:colOff>104775</xdr:colOff>
                <xdr:row>14</xdr:row>
                <xdr:rowOff>180975</xdr:rowOff>
              </from>
              <to>
                <xdr:col>2</xdr:col>
                <xdr:colOff>361950</xdr:colOff>
                <xdr:row>16</xdr:row>
                <xdr:rowOff>19050</xdr:rowOff>
              </to>
            </anchor>
          </controlPr>
        </control>
      </mc:Choice>
      <mc:Fallback>
        <control shapeId="123905" r:id="rId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O95"/>
  <sheetViews>
    <sheetView zoomScaleNormal="100" workbookViewId="0">
      <pane xSplit="2" topLeftCell="C1" activePane="topRight" state="frozen"/>
      <selection activeCell="A71" sqref="A71"/>
      <selection pane="topRight"/>
    </sheetView>
  </sheetViews>
  <sheetFormatPr defaultRowHeight="15"/>
  <cols>
    <col min="1" max="1" width="2.21875" style="18" bestFit="1" customWidth="1"/>
    <col min="2" max="2" width="40.88671875" customWidth="1"/>
    <col min="3" max="5" width="20.88671875" customWidth="1"/>
    <col min="6" max="6" width="12.88671875" style="18" customWidth="1"/>
    <col min="7" max="7" width="12.88671875" customWidth="1"/>
    <col min="8" max="8" width="10.109375" style="18" bestFit="1" customWidth="1"/>
    <col min="9" max="9" width="20.88671875" customWidth="1"/>
    <col min="10" max="10" width="12.88671875" customWidth="1"/>
    <col min="11" max="11" width="5.88671875" style="18" customWidth="1"/>
    <col min="12" max="12" width="20.88671875" customWidth="1"/>
    <col min="13" max="13" width="9.5546875" bestFit="1" customWidth="1"/>
    <col min="14" max="14" width="13.21875" style="456" bestFit="1" customWidth="1"/>
    <col min="15" max="15" width="18.109375" style="456" bestFit="1" customWidth="1"/>
  </cols>
  <sheetData>
    <row r="1" spans="1:15" ht="16.5">
      <c r="B1" s="918" t="s">
        <v>585</v>
      </c>
      <c r="C1" s="918"/>
      <c r="D1" s="918"/>
      <c r="E1" s="918"/>
      <c r="F1" s="918"/>
      <c r="G1" s="918"/>
      <c r="H1" s="918"/>
      <c r="I1" s="918"/>
      <c r="J1" s="918"/>
      <c r="K1" s="918"/>
      <c r="L1" s="918"/>
    </row>
    <row r="2" spans="1:15" ht="16.5">
      <c r="B2" s="12"/>
      <c r="C2" s="6"/>
      <c r="D2" s="6"/>
      <c r="E2" s="6"/>
      <c r="F2" s="23"/>
      <c r="G2" s="6"/>
      <c r="H2" s="23"/>
      <c r="I2" s="6"/>
      <c r="J2" s="6"/>
      <c r="K2" s="23"/>
    </row>
    <row r="3" spans="1:15" ht="16.5">
      <c r="B3" s="918" t="s">
        <v>198</v>
      </c>
      <c r="C3" s="918"/>
      <c r="D3" s="918"/>
      <c r="E3" s="918"/>
      <c r="F3" s="918"/>
      <c r="G3" s="918"/>
      <c r="H3" s="918"/>
      <c r="I3" s="918"/>
      <c r="J3" s="918"/>
      <c r="K3" s="918"/>
      <c r="L3" s="918"/>
    </row>
    <row r="4" spans="1:15" ht="16.5">
      <c r="B4" s="7"/>
      <c r="C4" s="7"/>
      <c r="D4" s="7"/>
      <c r="E4" s="7"/>
      <c r="F4" s="24"/>
      <c r="G4" s="7"/>
      <c r="H4" s="24"/>
      <c r="I4" s="7"/>
      <c r="J4" s="7"/>
      <c r="K4" s="24"/>
      <c r="L4" s="7"/>
    </row>
    <row r="5" spans="1:15" ht="16.5">
      <c r="B5" s="927" t="str">
        <f>'Fly Sheet'!$A$20</f>
        <v>For the Twelve Months Ended December 31, 2023 Historical and March 31, 2026 Forecasted</v>
      </c>
      <c r="C5" s="927"/>
      <c r="D5" s="927"/>
      <c r="E5" s="927"/>
      <c r="F5" s="927"/>
      <c r="G5" s="927"/>
      <c r="H5" s="927"/>
      <c r="I5" s="927"/>
      <c r="J5" s="927"/>
      <c r="K5" s="927"/>
      <c r="L5" s="927"/>
    </row>
    <row r="6" spans="1:15" ht="15.75">
      <c r="B6" s="928"/>
      <c r="C6" s="928"/>
      <c r="D6" s="928"/>
      <c r="E6" s="928"/>
      <c r="F6" s="928"/>
      <c r="G6" s="928"/>
      <c r="H6" s="928"/>
      <c r="I6" s="928"/>
      <c r="J6" s="928"/>
      <c r="K6" s="928"/>
      <c r="L6" s="928"/>
    </row>
    <row r="7" spans="1:15" ht="15.75">
      <c r="B7" s="4"/>
      <c r="C7" s="4"/>
      <c r="D7" s="4"/>
      <c r="E7" s="4"/>
      <c r="F7" s="4"/>
      <c r="G7" s="4"/>
      <c r="H7" s="4"/>
      <c r="I7" s="4"/>
      <c r="J7" s="4"/>
      <c r="K7" s="4"/>
      <c r="L7" s="657"/>
    </row>
    <row r="8" spans="1:15" ht="15.75">
      <c r="C8" s="17" t="s">
        <v>112</v>
      </c>
      <c r="D8" s="17"/>
      <c r="E8" s="17"/>
      <c r="F8" s="17" t="s">
        <v>34</v>
      </c>
      <c r="G8" s="17" t="s">
        <v>21</v>
      </c>
      <c r="I8" s="17" t="s">
        <v>113</v>
      </c>
      <c r="J8" s="17" t="s">
        <v>199</v>
      </c>
      <c r="L8" s="17" t="s">
        <v>199</v>
      </c>
      <c r="N8" s="658" t="s">
        <v>963</v>
      </c>
    </row>
    <row r="9" spans="1:15" ht="15.75">
      <c r="C9" s="17" t="s">
        <v>184</v>
      </c>
      <c r="D9" s="17" t="s">
        <v>855</v>
      </c>
      <c r="E9" s="17" t="s">
        <v>856</v>
      </c>
      <c r="F9" s="17" t="s">
        <v>16</v>
      </c>
      <c r="G9" s="17" t="s">
        <v>16</v>
      </c>
      <c r="I9" s="17" t="s">
        <v>184</v>
      </c>
      <c r="J9" s="17" t="s">
        <v>16</v>
      </c>
      <c r="L9" s="17" t="s">
        <v>186</v>
      </c>
      <c r="N9" s="658" t="s">
        <v>4</v>
      </c>
      <c r="O9" s="457"/>
    </row>
    <row r="10" spans="1:15" ht="15.75">
      <c r="C10" s="17" t="s">
        <v>185</v>
      </c>
      <c r="D10" s="17"/>
      <c r="E10" s="17"/>
      <c r="F10" s="31"/>
      <c r="G10" s="17"/>
      <c r="H10" s="25" t="s">
        <v>187</v>
      </c>
      <c r="I10" s="17" t="s">
        <v>185</v>
      </c>
      <c r="J10" s="17"/>
      <c r="K10" s="25" t="s">
        <v>187</v>
      </c>
      <c r="L10" s="17" t="s">
        <v>185</v>
      </c>
    </row>
    <row r="11" spans="1:15">
      <c r="B11" s="11" t="s">
        <v>27</v>
      </c>
      <c r="F11" s="29"/>
    </row>
    <row r="12" spans="1:15" ht="15.75">
      <c r="A12" s="18">
        <v>1</v>
      </c>
      <c r="B12" s="9" t="s">
        <v>692</v>
      </c>
      <c r="C12" s="898">
        <f>+'Sch 4 - 12 Months'!O12</f>
        <v>3499894.1999999993</v>
      </c>
      <c r="D12" s="29"/>
      <c r="E12" s="29">
        <f>+C12-D12</f>
        <v>3499894.1999999993</v>
      </c>
      <c r="F12" s="29"/>
      <c r="G12" s="32">
        <f>+'Sch 1, pg 2 - Restated'!R13+'Sch 1 - Restated Exp'!C13</f>
        <v>140986.99117432535</v>
      </c>
      <c r="H12" s="28" t="s">
        <v>1345</v>
      </c>
      <c r="I12" s="32">
        <f>E12+G12+F12</f>
        <v>3640881.1911743246</v>
      </c>
      <c r="J12" s="32"/>
      <c r="K12" s="28"/>
      <c r="L12" s="32">
        <f>I12+J12</f>
        <v>3640881.1911743246</v>
      </c>
      <c r="N12" s="659">
        <f>+L12*1.19</f>
        <v>4332648.617497446</v>
      </c>
    </row>
    <row r="13" spans="1:15" ht="15.75">
      <c r="A13" s="18">
        <v>2</v>
      </c>
      <c r="B13" s="9" t="s">
        <v>693</v>
      </c>
      <c r="C13" s="898">
        <f>+'Sch 4 - 12 Months'!O13</f>
        <v>1280630.46</v>
      </c>
      <c r="D13" s="29">
        <f>+C13</f>
        <v>1280630.46</v>
      </c>
      <c r="E13" s="29">
        <f t="shared" ref="E13:E24" si="0">+C13-D13</f>
        <v>0</v>
      </c>
      <c r="F13" s="29"/>
      <c r="G13" s="32"/>
      <c r="H13" s="28"/>
      <c r="I13" s="32">
        <f t="shared" ref="I13:I24" si="1">E13+G13+F13</f>
        <v>0</v>
      </c>
      <c r="J13" s="32"/>
      <c r="K13" s="28"/>
      <c r="L13" s="32">
        <f t="shared" ref="L13:L24" si="2">I13+J13</f>
        <v>0</v>
      </c>
      <c r="N13" s="659"/>
    </row>
    <row r="14" spans="1:15" ht="15.75">
      <c r="A14" s="18">
        <v>3</v>
      </c>
      <c r="B14" s="9" t="s">
        <v>694</v>
      </c>
      <c r="C14" s="898">
        <f>+'Sch 4 - 12 Months'!O14</f>
        <v>2373984.9299999997</v>
      </c>
      <c r="D14" s="29"/>
      <c r="E14" s="29">
        <f t="shared" si="0"/>
        <v>2373984.9299999997</v>
      </c>
      <c r="F14" s="29"/>
      <c r="G14" s="32">
        <f>+'Sch 1, pg 2 - Restated'!R15</f>
        <v>98699.592275711198</v>
      </c>
      <c r="H14" s="28" t="s">
        <v>218</v>
      </c>
      <c r="I14" s="32">
        <f t="shared" si="1"/>
        <v>2472684.5222757109</v>
      </c>
      <c r="J14" s="32"/>
      <c r="K14" s="28"/>
      <c r="L14" s="32">
        <f t="shared" si="2"/>
        <v>2472684.5222757109</v>
      </c>
      <c r="N14" s="659">
        <f>+L14*1.19</f>
        <v>2942494.5815080958</v>
      </c>
    </row>
    <row r="15" spans="1:15" ht="15.75">
      <c r="A15" s="18">
        <v>4</v>
      </c>
      <c r="B15" s="9" t="s">
        <v>695</v>
      </c>
      <c r="C15" s="898">
        <f>+'Sch 4 - 12 Months'!O15</f>
        <v>1484626.9499999997</v>
      </c>
      <c r="D15" s="29">
        <f>+C15</f>
        <v>1484626.9499999997</v>
      </c>
      <c r="E15" s="29">
        <f t="shared" si="0"/>
        <v>0</v>
      </c>
      <c r="F15" s="29"/>
      <c r="G15" s="32"/>
      <c r="H15" s="28"/>
      <c r="I15" s="32">
        <f t="shared" si="1"/>
        <v>0</v>
      </c>
      <c r="J15" s="32"/>
      <c r="K15" s="28"/>
      <c r="L15" s="32">
        <f t="shared" si="2"/>
        <v>0</v>
      </c>
      <c r="N15" s="659"/>
    </row>
    <row r="16" spans="1:15" ht="15.75">
      <c r="A16" s="18">
        <v>5</v>
      </c>
      <c r="B16" s="9" t="s">
        <v>696</v>
      </c>
      <c r="C16" s="898">
        <f>+'Sch 4 - 12 Months'!O16</f>
        <v>1070714.76</v>
      </c>
      <c r="D16" s="29"/>
      <c r="E16" s="29">
        <f t="shared" si="0"/>
        <v>1070714.76</v>
      </c>
      <c r="F16" s="29"/>
      <c r="G16" s="32">
        <f>+'Sch 1, pg 2 - Restated'!R17</f>
        <v>44515.493304157579</v>
      </c>
      <c r="H16" s="28" t="s">
        <v>218</v>
      </c>
      <c r="I16" s="32">
        <f t="shared" si="1"/>
        <v>1115230.2533041576</v>
      </c>
      <c r="J16" s="32"/>
      <c r="K16" s="28"/>
      <c r="L16" s="32">
        <f t="shared" si="2"/>
        <v>1115230.2533041576</v>
      </c>
      <c r="N16" s="659">
        <f>+L16*1.19</f>
        <v>1327124.0014319476</v>
      </c>
    </row>
    <row r="17" spans="1:14" ht="15.75">
      <c r="A17" s="18">
        <v>6</v>
      </c>
      <c r="B17" s="9" t="s">
        <v>697</v>
      </c>
      <c r="C17" s="898">
        <f>+'Sch 4 - 12 Months'!O17</f>
        <v>790755.62</v>
      </c>
      <c r="D17" s="29">
        <f>+C17</f>
        <v>790755.62</v>
      </c>
      <c r="E17" s="29">
        <f t="shared" si="0"/>
        <v>0</v>
      </c>
      <c r="F17" s="29"/>
      <c r="G17" s="32"/>
      <c r="H17" s="28"/>
      <c r="I17" s="32">
        <f t="shared" si="1"/>
        <v>0</v>
      </c>
      <c r="J17" s="32"/>
      <c r="K17" s="28"/>
      <c r="L17" s="32">
        <f t="shared" si="2"/>
        <v>0</v>
      </c>
      <c r="N17" s="659"/>
    </row>
    <row r="18" spans="1:14" ht="15.75">
      <c r="A18" s="18">
        <v>7</v>
      </c>
      <c r="B18" s="9" t="s">
        <v>698</v>
      </c>
      <c r="C18" s="898">
        <f>+'Sch 4 - 12 Months'!O18</f>
        <v>663921.21000000008</v>
      </c>
      <c r="D18" s="29"/>
      <c r="E18" s="29">
        <f t="shared" si="0"/>
        <v>663921.21000000008</v>
      </c>
      <c r="F18" s="29"/>
      <c r="G18" s="32"/>
      <c r="H18" s="28"/>
      <c r="I18" s="32">
        <f t="shared" si="1"/>
        <v>663921.21000000008</v>
      </c>
      <c r="J18" s="32"/>
      <c r="K18" s="28"/>
      <c r="L18" s="32">
        <f t="shared" si="2"/>
        <v>663921.21000000008</v>
      </c>
      <c r="N18" s="659">
        <f>+L18</f>
        <v>663921.21000000008</v>
      </c>
    </row>
    <row r="19" spans="1:14" ht="15.75">
      <c r="A19" s="18">
        <v>8</v>
      </c>
      <c r="B19" s="9" t="s">
        <v>875</v>
      </c>
      <c r="C19" s="898">
        <f>+'Sch 4 - 12 Months'!O19</f>
        <v>1073840.4600000002</v>
      </c>
      <c r="D19" s="29">
        <f>+C19</f>
        <v>1073840.4600000002</v>
      </c>
      <c r="E19" s="29">
        <f t="shared" si="0"/>
        <v>0</v>
      </c>
      <c r="F19" s="29"/>
      <c r="G19" s="32"/>
      <c r="H19" s="28"/>
      <c r="I19" s="32">
        <f t="shared" si="1"/>
        <v>0</v>
      </c>
      <c r="J19" s="32"/>
      <c r="K19" s="28"/>
      <c r="L19" s="32">
        <f t="shared" si="2"/>
        <v>0</v>
      </c>
      <c r="N19" s="659"/>
    </row>
    <row r="20" spans="1:14" ht="15.75">
      <c r="A20" s="18">
        <v>9</v>
      </c>
      <c r="B20" s="9" t="s">
        <v>749</v>
      </c>
      <c r="C20" s="898">
        <f>+'Sch 4 - 12 Months'!O20</f>
        <v>455749.00999999995</v>
      </c>
      <c r="D20" s="29">
        <f>+C20</f>
        <v>455749.00999999995</v>
      </c>
      <c r="E20" s="29">
        <f t="shared" si="0"/>
        <v>0</v>
      </c>
      <c r="F20" s="29"/>
      <c r="G20" s="32"/>
      <c r="H20" s="28"/>
      <c r="I20" s="32">
        <f t="shared" si="1"/>
        <v>0</v>
      </c>
      <c r="J20" s="32"/>
      <c r="K20" s="28"/>
      <c r="L20" s="32">
        <f t="shared" si="2"/>
        <v>0</v>
      </c>
      <c r="N20" s="659"/>
    </row>
    <row r="21" spans="1:14" ht="15.75">
      <c r="A21" s="18">
        <v>10</v>
      </c>
      <c r="B21" s="9" t="s">
        <v>750</v>
      </c>
      <c r="C21" s="898">
        <f>+'Sch 4 - 12 Months'!O21</f>
        <v>828493</v>
      </c>
      <c r="D21" s="29">
        <f>+C21</f>
        <v>828493</v>
      </c>
      <c r="E21" s="29">
        <f t="shared" si="0"/>
        <v>0</v>
      </c>
      <c r="F21" s="29"/>
      <c r="G21" s="32"/>
      <c r="H21" s="28"/>
      <c r="I21" s="32">
        <f t="shared" si="1"/>
        <v>0</v>
      </c>
      <c r="J21" s="32"/>
      <c r="K21" s="28"/>
      <c r="L21" s="32">
        <f t="shared" si="2"/>
        <v>0</v>
      </c>
      <c r="N21" s="659"/>
    </row>
    <row r="22" spans="1:14" ht="15.75">
      <c r="A22" s="18">
        <v>11</v>
      </c>
      <c r="B22" s="9" t="s">
        <v>700</v>
      </c>
      <c r="C22" s="898">
        <f>+'Sch 4 - 12 Months'!O22</f>
        <v>21985.26</v>
      </c>
      <c r="D22" s="29"/>
      <c r="E22" s="29">
        <f t="shared" si="0"/>
        <v>21985.26</v>
      </c>
      <c r="F22" s="29"/>
      <c r="G22" s="32"/>
      <c r="H22" s="28"/>
      <c r="I22" s="32">
        <f t="shared" si="1"/>
        <v>21985.26</v>
      </c>
      <c r="J22" s="32"/>
      <c r="K22" s="28"/>
      <c r="L22" s="32">
        <f t="shared" si="2"/>
        <v>21985.26</v>
      </c>
      <c r="N22" s="659">
        <f>+L22</f>
        <v>21985.26</v>
      </c>
    </row>
    <row r="23" spans="1:14" ht="15.75">
      <c r="A23" s="18">
        <v>12</v>
      </c>
      <c r="B23" s="9" t="s">
        <v>701</v>
      </c>
      <c r="C23" s="898">
        <f>+'Sch 4 - 12 Months'!O23</f>
        <v>13220.529999999999</v>
      </c>
      <c r="D23" s="29"/>
      <c r="E23" s="29">
        <f t="shared" si="0"/>
        <v>13220.529999999999</v>
      </c>
      <c r="F23" s="29"/>
      <c r="G23" s="32"/>
      <c r="H23" s="28"/>
      <c r="I23" s="32">
        <f t="shared" si="1"/>
        <v>13220.529999999999</v>
      </c>
      <c r="J23" s="32"/>
      <c r="K23" s="28"/>
      <c r="L23" s="32">
        <f t="shared" si="2"/>
        <v>13220.529999999999</v>
      </c>
      <c r="N23" s="659">
        <f>+L23</f>
        <v>13220.529999999999</v>
      </c>
    </row>
    <row r="24" spans="1:14" ht="15.75">
      <c r="A24" s="18">
        <v>13</v>
      </c>
      <c r="B24" s="9" t="s">
        <v>702</v>
      </c>
      <c r="C24" s="898">
        <f>+'Sch 4 - 12 Months'!O24</f>
        <v>1152.54</v>
      </c>
      <c r="D24" s="29">
        <f>+C24</f>
        <v>1152.54</v>
      </c>
      <c r="E24" s="29">
        <f t="shared" si="0"/>
        <v>0</v>
      </c>
      <c r="F24" s="29"/>
      <c r="G24" s="32"/>
      <c r="H24" s="28"/>
      <c r="I24" s="32">
        <f t="shared" si="1"/>
        <v>0</v>
      </c>
      <c r="J24" s="32"/>
      <c r="K24" s="28"/>
      <c r="L24" s="32">
        <f t="shared" si="2"/>
        <v>0</v>
      </c>
      <c r="N24" s="659"/>
    </row>
    <row r="25" spans="1:14" ht="15.75">
      <c r="B25" s="9"/>
      <c r="C25" s="29"/>
      <c r="D25" s="29"/>
      <c r="E25" s="29"/>
      <c r="F25" s="28"/>
      <c r="G25" s="32"/>
      <c r="H25" s="28"/>
      <c r="I25" s="32"/>
      <c r="J25" s="32"/>
      <c r="K25" s="28"/>
      <c r="L25" s="32"/>
    </row>
    <row r="26" spans="1:14" ht="15.75">
      <c r="B26" s="20" t="s">
        <v>188</v>
      </c>
      <c r="C26" s="30">
        <f>SUM(C12:C24)</f>
        <v>13558968.929999998</v>
      </c>
      <c r="D26" s="30">
        <f>SUM(D12:D24)</f>
        <v>5915248.04</v>
      </c>
      <c r="E26" s="30">
        <f>SUM(E12:E24)</f>
        <v>7643720.8899999987</v>
      </c>
      <c r="F26" s="30">
        <f t="shared" ref="F26:G26" si="3">SUM(F12:F24)</f>
        <v>0</v>
      </c>
      <c r="G26" s="30">
        <f t="shared" si="3"/>
        <v>284202.0767541941</v>
      </c>
      <c r="H26" s="34"/>
      <c r="I26" s="30">
        <f>SUM(I12:I24)</f>
        <v>7927922.9667541925</v>
      </c>
      <c r="J26" s="30">
        <f>SUM(J12:J24)</f>
        <v>0</v>
      </c>
      <c r="K26" s="34"/>
      <c r="L26" s="30">
        <f>SUM(L12:L24)</f>
        <v>7927922.9667541925</v>
      </c>
      <c r="N26" s="30">
        <f>SUM(N12:N24)</f>
        <v>9301394.2004374899</v>
      </c>
    </row>
    <row r="27" spans="1:14">
      <c r="B27" s="27" t="s">
        <v>195</v>
      </c>
      <c r="C27" s="19">
        <f>SUM(C12:C24)</f>
        <v>13558968.929999998</v>
      </c>
      <c r="D27" s="19"/>
      <c r="E27" s="29">
        <f ca="1">+'LG Nonpublic 2018 V5.0c'!M21</f>
        <v>921152.74117517425</v>
      </c>
      <c r="F27" s="28"/>
      <c r="H27" s="28"/>
      <c r="I27" s="32"/>
      <c r="J27" s="32"/>
      <c r="K27" s="28"/>
      <c r="L27" s="32"/>
    </row>
    <row r="28" spans="1:14" ht="15.75">
      <c r="B28" s="8"/>
      <c r="C28" s="19"/>
      <c r="D28" s="19"/>
      <c r="E28" s="903">
        <f ca="1">+E27/E26</f>
        <v>0.12051103833216684</v>
      </c>
      <c r="F28" s="28"/>
      <c r="H28" s="28"/>
      <c r="I28" s="32"/>
      <c r="J28" s="32"/>
      <c r="K28" s="28"/>
      <c r="L28" s="33"/>
    </row>
    <row r="29" spans="1:14">
      <c r="B29" s="11" t="s">
        <v>14</v>
      </c>
      <c r="C29" s="19"/>
      <c r="D29" s="19"/>
      <c r="E29" s="19"/>
      <c r="F29" s="28"/>
      <c r="G29" s="32"/>
      <c r="H29" s="28"/>
      <c r="I29" s="32"/>
      <c r="J29" s="32"/>
      <c r="K29" s="28"/>
      <c r="L29" s="32"/>
    </row>
    <row r="30" spans="1:14" ht="15.75">
      <c r="A30" s="18">
        <v>14</v>
      </c>
      <c r="B30" s="9" t="s">
        <v>708</v>
      </c>
      <c r="C30" s="29">
        <f>+'Sch 4 - 12 Months'!O28</f>
        <v>3040494.4099999997</v>
      </c>
      <c r="D30" s="29">
        <f>+'WP-11, pg 2 - Non-Regulated'!F11</f>
        <v>1257189.153273718</v>
      </c>
      <c r="E30" s="29">
        <f t="shared" ref="E30:E79" si="4">+C30-D30</f>
        <v>1783305.2567262817</v>
      </c>
      <c r="F30" s="36">
        <f>+'Sch 3, pg 2 - Reclass'!B31</f>
        <v>-1783305.2567262831</v>
      </c>
      <c r="H30" s="28" t="s">
        <v>55</v>
      </c>
      <c r="I30" s="32">
        <f t="shared" ref="I30:I79" si="5">E30+G30+F30</f>
        <v>0</v>
      </c>
      <c r="J30" s="36"/>
      <c r="K30" s="28"/>
      <c r="L30" s="32">
        <f>I30+J30</f>
        <v>0</v>
      </c>
      <c r="N30" s="458"/>
    </row>
    <row r="31" spans="1:14" ht="15.75">
      <c r="A31" s="18">
        <v>15</v>
      </c>
      <c r="B31" s="9" t="s">
        <v>771</v>
      </c>
      <c r="C31" s="29">
        <v>0</v>
      </c>
      <c r="D31" s="29">
        <f>+'WP-11, pg 2 - Non-Regulated'!F12</f>
        <v>0</v>
      </c>
      <c r="E31" s="29">
        <f t="shared" si="4"/>
        <v>0</v>
      </c>
      <c r="F31" s="36">
        <f>+'Sch 3, pg 2 - Reclass'!B32</f>
        <v>892885.18901979667</v>
      </c>
      <c r="H31" s="28" t="s">
        <v>55</v>
      </c>
      <c r="I31" s="32">
        <f t="shared" si="5"/>
        <v>892885.18901979667</v>
      </c>
      <c r="J31" s="36">
        <f>+'Sch 2, pg 2 - Forecast'!N32</f>
        <v>90556.913959872865</v>
      </c>
      <c r="K31" s="28" t="s">
        <v>51</v>
      </c>
      <c r="L31" s="32">
        <f t="shared" ref="L31:L34" si="6">I31+J31</f>
        <v>983442.10297966958</v>
      </c>
      <c r="N31" s="660">
        <f>+L31</f>
        <v>983442.10297966958</v>
      </c>
    </row>
    <row r="32" spans="1:14" ht="15.75">
      <c r="A32" s="18">
        <v>16</v>
      </c>
      <c r="B32" s="9" t="s">
        <v>772</v>
      </c>
      <c r="C32" s="29">
        <v>0</v>
      </c>
      <c r="D32" s="29">
        <f>+'WP-11, pg 2 - Non-Regulated'!F13</f>
        <v>0</v>
      </c>
      <c r="E32" s="29">
        <f t="shared" si="4"/>
        <v>0</v>
      </c>
      <c r="F32" s="36">
        <f>+'Sch 3, pg 2 - Reclass'!B33</f>
        <v>142935.79206465674</v>
      </c>
      <c r="H32" s="28" t="s">
        <v>55</v>
      </c>
      <c r="I32" s="32">
        <f t="shared" si="5"/>
        <v>142935.79206465674</v>
      </c>
      <c r="J32" s="36">
        <f>+'Sch 2, pg 2 - Forecast'!N33</f>
        <v>-71937.469566640109</v>
      </c>
      <c r="K32" s="28" t="s">
        <v>51</v>
      </c>
      <c r="L32" s="32">
        <f t="shared" si="6"/>
        <v>70998.322498016627</v>
      </c>
      <c r="N32" s="660">
        <f t="shared" ref="N32:N79" si="7">+L32</f>
        <v>70998.322498016627</v>
      </c>
    </row>
    <row r="33" spans="1:14" ht="15.75">
      <c r="A33" s="18">
        <v>17</v>
      </c>
      <c r="B33" s="9" t="s">
        <v>775</v>
      </c>
      <c r="C33" s="29">
        <v>0</v>
      </c>
      <c r="D33" s="29">
        <f>+'WP-11, pg 2 - Non-Regulated'!F14</f>
        <v>0</v>
      </c>
      <c r="E33" s="29">
        <f t="shared" si="4"/>
        <v>0</v>
      </c>
      <c r="F33" s="36">
        <f>+'Sch 3, pg 2 - Reclass'!B34</f>
        <v>74046.582935986284</v>
      </c>
      <c r="H33" s="28" t="s">
        <v>55</v>
      </c>
      <c r="I33" s="32">
        <f t="shared" si="5"/>
        <v>74046.582935986284</v>
      </c>
      <c r="J33" s="36">
        <f>+'Sch 2, pg 2 - Forecast'!N34</f>
        <v>5281.5163204896644</v>
      </c>
      <c r="K33" s="28" t="s">
        <v>51</v>
      </c>
      <c r="L33" s="32">
        <f t="shared" si="6"/>
        <v>79328.099256475951</v>
      </c>
      <c r="N33" s="660">
        <f t="shared" si="7"/>
        <v>79328.099256475951</v>
      </c>
    </row>
    <row r="34" spans="1:14" ht="15.75">
      <c r="A34" s="18">
        <v>18</v>
      </c>
      <c r="B34" s="9" t="s">
        <v>773</v>
      </c>
      <c r="C34" s="29">
        <v>0</v>
      </c>
      <c r="D34" s="29">
        <f>+'WP-11, pg 2 - Non-Regulated'!F15</f>
        <v>0</v>
      </c>
      <c r="E34" s="29">
        <f t="shared" si="4"/>
        <v>0</v>
      </c>
      <c r="F34" s="36">
        <f>+'Sch 3, pg 2 - Reclass'!B35</f>
        <v>481756.47200000001</v>
      </c>
      <c r="G34">
        <f>+'Sch 1, pg 2 - Restated'!L31</f>
        <v>-28600</v>
      </c>
      <c r="H34" s="28" t="s">
        <v>1262</v>
      </c>
      <c r="I34" s="32">
        <f t="shared" si="5"/>
        <v>453156.47200000001</v>
      </c>
      <c r="J34" s="36">
        <f>+'Sch 2, pg 2 - Forecast'!N35</f>
        <v>75664.996540000066</v>
      </c>
      <c r="K34" s="28" t="s">
        <v>51</v>
      </c>
      <c r="L34" s="32">
        <f t="shared" si="6"/>
        <v>528821.46854000003</v>
      </c>
      <c r="N34" s="660">
        <f t="shared" si="7"/>
        <v>528821.46854000003</v>
      </c>
    </row>
    <row r="35" spans="1:14" ht="15.75">
      <c r="A35" s="18">
        <v>19</v>
      </c>
      <c r="B35" s="9" t="s">
        <v>774</v>
      </c>
      <c r="C35" s="29">
        <v>0</v>
      </c>
      <c r="D35" s="29">
        <f>+'WP-11, pg 2 - Non-Regulated'!F16</f>
        <v>0</v>
      </c>
      <c r="E35" s="29">
        <f t="shared" si="4"/>
        <v>0</v>
      </c>
      <c r="F35" s="36">
        <f>+'Sch 3, pg 2 - Reclass'!B36</f>
        <v>80761.789992450373</v>
      </c>
      <c r="H35" s="28" t="s">
        <v>55</v>
      </c>
      <c r="I35" s="32">
        <f t="shared" si="5"/>
        <v>80761.789992450373</v>
      </c>
      <c r="J35" s="36">
        <f>+'Sch 2, pg 2 - Forecast'!N36</f>
        <v>8.3199999993667006E-2</v>
      </c>
      <c r="K35" s="28" t="s">
        <v>51</v>
      </c>
      <c r="L35" s="32">
        <f>I35+J35</f>
        <v>80761.873192450366</v>
      </c>
      <c r="N35" s="660">
        <f t="shared" si="7"/>
        <v>80761.873192450366</v>
      </c>
    </row>
    <row r="36" spans="1:14" ht="15.75">
      <c r="A36" s="18">
        <v>20</v>
      </c>
      <c r="B36" s="9" t="s">
        <v>917</v>
      </c>
      <c r="C36" s="29">
        <v>0</v>
      </c>
      <c r="D36" s="29">
        <f>+'WP-11, pg 2 - Non-Regulated'!F17</f>
        <v>0</v>
      </c>
      <c r="E36" s="29">
        <f t="shared" si="4"/>
        <v>0</v>
      </c>
      <c r="F36" s="36">
        <f>+'Sch 3, pg 2 - Reclass'!B37</f>
        <v>110919.43071339291</v>
      </c>
      <c r="H36" s="28" t="s">
        <v>55</v>
      </c>
      <c r="I36" s="32">
        <f>E36+G36+F36</f>
        <v>110919.43071339291</v>
      </c>
      <c r="J36" s="36">
        <f>+'Sch 2, pg 2 - Forecast'!F37</f>
        <v>210216.75981045101</v>
      </c>
      <c r="K36" s="28" t="s">
        <v>51</v>
      </c>
      <c r="L36" s="32">
        <f>I36+J36</f>
        <v>321136.19052384392</v>
      </c>
      <c r="N36" s="660">
        <f t="shared" si="7"/>
        <v>321136.19052384392</v>
      </c>
    </row>
    <row r="37" spans="1:14" ht="15.75">
      <c r="A37" s="18">
        <v>21</v>
      </c>
      <c r="B37" s="9" t="s">
        <v>726</v>
      </c>
      <c r="C37" s="29">
        <f>+'Sch 4 - 12 Months'!O29</f>
        <v>543296.9600000002</v>
      </c>
      <c r="D37" s="29">
        <f>+'WP-11, pg 2 - Non-Regulated'!F18</f>
        <v>236542.35982072836</v>
      </c>
      <c r="E37" s="29">
        <f>+C37-D37</f>
        <v>306754.60017927183</v>
      </c>
      <c r="F37" s="36">
        <f>+'Sch 3, pg 2 - Reclass'!F38</f>
        <v>0</v>
      </c>
      <c r="G37" s="36">
        <f>+'Sch 1, pg 2 - Restated'!T32</f>
        <v>-3806.9722221127222</v>
      </c>
      <c r="H37" s="28" t="s">
        <v>1331</v>
      </c>
      <c r="I37" s="32">
        <f>E37+G37+F37</f>
        <v>302947.62795715913</v>
      </c>
      <c r="J37" s="36">
        <f>+'Sch 2, pg 2 - Forecast'!F38</f>
        <v>84857.25761219603</v>
      </c>
      <c r="K37" s="28" t="s">
        <v>51</v>
      </c>
      <c r="L37" s="32">
        <f t="shared" ref="L37:L77" si="8">I37+J37</f>
        <v>387804.88556935516</v>
      </c>
      <c r="N37" s="660">
        <f t="shared" si="7"/>
        <v>387804.88556935516</v>
      </c>
    </row>
    <row r="38" spans="1:14" ht="15.75">
      <c r="A38" s="18">
        <v>22</v>
      </c>
      <c r="B38" s="9" t="s">
        <v>347</v>
      </c>
      <c r="C38" s="29">
        <f>+'Sch 4 - 12 Months'!O30</f>
        <v>27298.97</v>
      </c>
      <c r="D38" s="29">
        <f>+'WP-11, pg 2 - Non-Regulated'!F19</f>
        <v>12177.497723897479</v>
      </c>
      <c r="E38" s="29">
        <f t="shared" si="4"/>
        <v>15121.472276102522</v>
      </c>
      <c r="F38" s="36"/>
      <c r="H38" s="28"/>
      <c r="I38" s="32">
        <f t="shared" si="5"/>
        <v>15121.472276102522</v>
      </c>
      <c r="J38" s="36"/>
      <c r="K38" s="28"/>
      <c r="L38" s="32">
        <f t="shared" si="8"/>
        <v>15121.472276102522</v>
      </c>
      <c r="N38" s="660">
        <f t="shared" si="7"/>
        <v>15121.472276102522</v>
      </c>
    </row>
    <row r="39" spans="1:14" ht="15.75">
      <c r="A39" s="18">
        <v>23</v>
      </c>
      <c r="B39" s="9" t="s">
        <v>1024</v>
      </c>
      <c r="C39" s="29">
        <f>+'Sch 4 - 12 Months'!O31</f>
        <v>-1656.4499999999971</v>
      </c>
      <c r="D39" s="29">
        <f>+'WP-11, pg 2 - Non-Regulated'!F20</f>
        <v>0</v>
      </c>
      <c r="E39" s="29">
        <f t="shared" si="4"/>
        <v>-1656.4499999999971</v>
      </c>
      <c r="F39" s="36"/>
      <c r="G39">
        <f>+'Sch 1, pg 2 - Restated'!T34</f>
        <v>0</v>
      </c>
      <c r="H39" s="28" t="s">
        <v>45</v>
      </c>
      <c r="I39" s="32">
        <f t="shared" si="5"/>
        <v>-1656.4499999999971</v>
      </c>
      <c r="J39" s="36"/>
      <c r="K39" s="28"/>
      <c r="L39" s="32">
        <f t="shared" si="8"/>
        <v>-1656.4499999999971</v>
      </c>
      <c r="N39" s="660">
        <f t="shared" si="7"/>
        <v>-1656.4499999999971</v>
      </c>
    </row>
    <row r="40" spans="1:14" ht="15.75">
      <c r="A40" s="18">
        <v>24</v>
      </c>
      <c r="B40" s="9" t="s">
        <v>727</v>
      </c>
      <c r="C40" s="29">
        <f>+'Sch 4 - 12 Months'!O32</f>
        <v>10715.57</v>
      </c>
      <c r="D40" s="29">
        <f>+'WP-11, pg 2 - Non-Regulated'!F21</f>
        <v>0</v>
      </c>
      <c r="E40" s="29">
        <f t="shared" si="4"/>
        <v>10715.57</v>
      </c>
      <c r="F40" s="36"/>
      <c r="G40" s="36"/>
      <c r="H40" s="28"/>
      <c r="I40" s="32">
        <f t="shared" si="5"/>
        <v>10715.57</v>
      </c>
      <c r="J40" s="36"/>
      <c r="K40" s="28"/>
      <c r="L40" s="32">
        <f t="shared" si="8"/>
        <v>10715.57</v>
      </c>
      <c r="N40" s="660">
        <f t="shared" si="7"/>
        <v>10715.57</v>
      </c>
    </row>
    <row r="41" spans="1:14" ht="15.75">
      <c r="A41" s="18">
        <v>25</v>
      </c>
      <c r="B41" s="9" t="s">
        <v>348</v>
      </c>
      <c r="C41" s="29">
        <f>+'Sch 4 - 12 Months'!O33</f>
        <v>89961.439999999988</v>
      </c>
      <c r="D41" s="29">
        <f>+'WP-11, pg 2 - Non-Regulated'!F22</f>
        <v>0</v>
      </c>
      <c r="E41" s="29">
        <f t="shared" si="4"/>
        <v>89961.439999999988</v>
      </c>
      <c r="F41" s="36"/>
      <c r="G41" s="37"/>
      <c r="H41" s="28"/>
      <c r="I41" s="32">
        <f t="shared" si="5"/>
        <v>89961.439999999988</v>
      </c>
      <c r="J41" s="36"/>
      <c r="K41" s="28"/>
      <c r="L41" s="32">
        <f t="shared" si="8"/>
        <v>89961.439999999988</v>
      </c>
      <c r="N41" s="660">
        <f t="shared" si="7"/>
        <v>89961.439999999988</v>
      </c>
    </row>
    <row r="42" spans="1:14" ht="15.75">
      <c r="A42" s="18">
        <v>26</v>
      </c>
      <c r="B42" s="9" t="s">
        <v>722</v>
      </c>
      <c r="C42" s="29">
        <f>+'Sch 4 - 12 Months'!O34</f>
        <v>12459.25</v>
      </c>
      <c r="D42" s="29">
        <f>+'WP-11, pg 2 - Non-Regulated'!F23</f>
        <v>5557.8100022260787</v>
      </c>
      <c r="E42" s="29">
        <f t="shared" si="4"/>
        <v>6901.4399977739213</v>
      </c>
      <c r="F42" s="28"/>
      <c r="G42" s="37"/>
      <c r="H42" s="28"/>
      <c r="I42" s="32">
        <f t="shared" si="5"/>
        <v>6901.4399977739213</v>
      </c>
      <c r="J42" s="32"/>
      <c r="K42" s="28"/>
      <c r="L42" s="32">
        <f t="shared" si="8"/>
        <v>6901.4399977739213</v>
      </c>
      <c r="N42" s="660">
        <f t="shared" si="7"/>
        <v>6901.4399977739213</v>
      </c>
    </row>
    <row r="43" spans="1:14" ht="15.75">
      <c r="A43" s="18">
        <v>27</v>
      </c>
      <c r="B43" s="9" t="s">
        <v>349</v>
      </c>
      <c r="C43" s="29">
        <f>+'Sch 4 - 12 Months'!O35</f>
        <v>3325</v>
      </c>
      <c r="D43" s="29">
        <f>+'WP-11, pg 2 - Non-Regulated'!F24</f>
        <v>0</v>
      </c>
      <c r="E43" s="29">
        <f t="shared" si="4"/>
        <v>3325</v>
      </c>
      <c r="F43" s="28"/>
      <c r="G43" s="36">
        <f>+'Sch 1, pg 2 - Restated'!T38</f>
        <v>-3325</v>
      </c>
      <c r="H43" s="28" t="s">
        <v>44</v>
      </c>
      <c r="I43" s="32">
        <f t="shared" si="5"/>
        <v>0</v>
      </c>
      <c r="J43" s="32"/>
      <c r="K43" s="28"/>
      <c r="L43" s="32">
        <f t="shared" si="8"/>
        <v>0</v>
      </c>
      <c r="N43" s="660">
        <f t="shared" si="7"/>
        <v>0</v>
      </c>
    </row>
    <row r="44" spans="1:14" ht="15.75">
      <c r="A44" s="18">
        <v>28</v>
      </c>
      <c r="B44" s="9" t="s">
        <v>711</v>
      </c>
      <c r="C44" s="29">
        <f>+'Sch 4 - 12 Months'!O36</f>
        <v>30761.37</v>
      </c>
      <c r="D44" s="29">
        <f>+'WP-11, pg 2 - Non-Regulated'!F25</f>
        <v>1338.8469853193478</v>
      </c>
      <c r="E44" s="29">
        <f t="shared" si="4"/>
        <v>29422.52301468065</v>
      </c>
      <c r="F44" s="36">
        <f>-F37</f>
        <v>0</v>
      </c>
      <c r="G44" s="32">
        <f>+'Sch 1, pg 2 - Restated'!T39</f>
        <v>0</v>
      </c>
      <c r="H44" s="28" t="s">
        <v>44</v>
      </c>
      <c r="I44" s="32">
        <f t="shared" si="5"/>
        <v>29422.52301468065</v>
      </c>
      <c r="J44" s="32"/>
      <c r="K44" s="28"/>
      <c r="L44" s="32">
        <f t="shared" si="8"/>
        <v>29422.52301468065</v>
      </c>
      <c r="N44" s="660">
        <f t="shared" si="7"/>
        <v>29422.52301468065</v>
      </c>
    </row>
    <row r="45" spans="1:14" ht="15.75">
      <c r="A45" s="18">
        <v>29</v>
      </c>
      <c r="B45" s="9" t="s">
        <v>705</v>
      </c>
      <c r="C45" s="29">
        <f>+'Sch 4 - 12 Months'!O37</f>
        <v>5632.91</v>
      </c>
      <c r="D45" s="29">
        <f>+'WP-11, pg 2 - Non-Regulated'!F26</f>
        <v>0</v>
      </c>
      <c r="E45" s="29">
        <f t="shared" si="4"/>
        <v>5632.91</v>
      </c>
      <c r="F45" s="28"/>
      <c r="G45" s="37"/>
      <c r="H45" s="28"/>
      <c r="I45" s="32">
        <f t="shared" si="5"/>
        <v>5632.91</v>
      </c>
      <c r="J45" s="32"/>
      <c r="K45" s="28"/>
      <c r="L45" s="32">
        <f t="shared" si="8"/>
        <v>5632.91</v>
      </c>
      <c r="N45" s="660">
        <f t="shared" si="7"/>
        <v>5632.91</v>
      </c>
    </row>
    <row r="46" spans="1:14" ht="15.75">
      <c r="A46" s="18">
        <v>30</v>
      </c>
      <c r="B46" s="9" t="s">
        <v>58</v>
      </c>
      <c r="C46" s="29">
        <f>+'Sch 4 - 12 Months'!O38</f>
        <v>3626578.6700000009</v>
      </c>
      <c r="D46" s="29">
        <f>+'WP-11, pg 2 - Non-Regulated'!F27</f>
        <v>1490541.0970000005</v>
      </c>
      <c r="E46" s="29">
        <f t="shared" si="4"/>
        <v>2136037.5730000003</v>
      </c>
      <c r="F46" s="36">
        <f>+'Sch 3, pg 2 - Reclass'!L47</f>
        <v>-737337.93279999995</v>
      </c>
      <c r="G46" s="37"/>
      <c r="H46" s="28" t="s">
        <v>56</v>
      </c>
      <c r="I46" s="32">
        <f t="shared" si="5"/>
        <v>1398699.6402000003</v>
      </c>
      <c r="J46" s="50">
        <f>+'Sch 2, pg 2 - Forecast'!N47</f>
        <v>0</v>
      </c>
      <c r="K46" s="28" t="s">
        <v>52</v>
      </c>
      <c r="L46" s="32">
        <f t="shared" si="8"/>
        <v>1398699.6402000003</v>
      </c>
      <c r="N46" s="660">
        <f t="shared" si="7"/>
        <v>1398699.6402000003</v>
      </c>
    </row>
    <row r="47" spans="1:14" ht="15.75">
      <c r="A47" s="18">
        <v>31</v>
      </c>
      <c r="B47" s="9" t="s">
        <v>858</v>
      </c>
      <c r="C47" s="29"/>
      <c r="D47" s="29"/>
      <c r="E47" s="29"/>
      <c r="F47" s="36">
        <f>+'Sch 3, pg 2 - Reclass'!L48</f>
        <v>737337.93279999995</v>
      </c>
      <c r="G47" s="37"/>
      <c r="H47" s="28" t="s">
        <v>56</v>
      </c>
      <c r="I47" s="32">
        <f t="shared" si="5"/>
        <v>737337.93279999995</v>
      </c>
      <c r="J47" s="50">
        <f>+'Sch 2, pg 2 - Forecast'!N48</f>
        <v>0</v>
      </c>
      <c r="K47" s="28" t="s">
        <v>52</v>
      </c>
      <c r="L47" s="32">
        <f t="shared" si="8"/>
        <v>737337.93279999995</v>
      </c>
      <c r="N47" s="660">
        <f t="shared" si="7"/>
        <v>737337.93279999995</v>
      </c>
    </row>
    <row r="48" spans="1:14" ht="15.75">
      <c r="A48" s="18">
        <v>32</v>
      </c>
      <c r="B48" s="9" t="s">
        <v>102</v>
      </c>
      <c r="C48" s="29">
        <f>+'Sch 4 - 12 Months'!O39</f>
        <v>1157380.3300000003</v>
      </c>
      <c r="D48" s="29">
        <f>+'WP-11, pg 2 - Non-Regulated'!F28</f>
        <v>516283.08079970477</v>
      </c>
      <c r="E48" s="29">
        <f t="shared" si="4"/>
        <v>641097.24920029554</v>
      </c>
      <c r="F48" s="28"/>
      <c r="G48" s="32"/>
      <c r="H48" s="28"/>
      <c r="I48" s="32">
        <f t="shared" si="5"/>
        <v>641097.24920029554</v>
      </c>
      <c r="J48" s="32">
        <f>+'Sch 2, pg 2 - Forecast'!N49</f>
        <v>-79541.288291214747</v>
      </c>
      <c r="K48" s="28" t="s">
        <v>50</v>
      </c>
      <c r="L48" s="32">
        <f t="shared" si="8"/>
        <v>561555.96090908081</v>
      </c>
      <c r="N48" s="660">
        <f t="shared" si="7"/>
        <v>561555.96090908081</v>
      </c>
    </row>
    <row r="49" spans="1:14" ht="15.75">
      <c r="A49" s="18">
        <v>33</v>
      </c>
      <c r="B49" s="9" t="s">
        <v>12</v>
      </c>
      <c r="C49" s="29">
        <f>+'Sch 4 - 12 Months'!O40</f>
        <v>0</v>
      </c>
      <c r="D49" s="29">
        <f>+'WP-11, pg 2 - Non-Regulated'!F29</f>
        <v>0</v>
      </c>
      <c r="E49" s="29">
        <f t="shared" si="4"/>
        <v>0</v>
      </c>
      <c r="F49" s="36"/>
      <c r="H49" s="28"/>
      <c r="I49" s="32">
        <f t="shared" si="5"/>
        <v>0</v>
      </c>
      <c r="J49" s="36"/>
      <c r="K49" s="28"/>
      <c r="L49" s="32">
        <f t="shared" si="8"/>
        <v>0</v>
      </c>
      <c r="N49" s="660">
        <f t="shared" si="7"/>
        <v>0</v>
      </c>
    </row>
    <row r="50" spans="1:14" ht="15.75">
      <c r="A50" s="18">
        <v>34</v>
      </c>
      <c r="B50" s="9" t="s">
        <v>720</v>
      </c>
      <c r="C50" s="29">
        <f>+'Sch 4 - 12 Months'!O41</f>
        <v>225756.40999999995</v>
      </c>
      <c r="D50" s="29">
        <f>+'WP-11, pg 2 - Non-Regulated'!F30</f>
        <v>98488.695465277982</v>
      </c>
      <c r="E50" s="29">
        <f t="shared" si="4"/>
        <v>127267.71453472196</v>
      </c>
      <c r="F50" s="36"/>
      <c r="H50" s="28"/>
      <c r="I50" s="32">
        <f t="shared" si="5"/>
        <v>127267.71453472196</v>
      </c>
      <c r="J50" s="32"/>
      <c r="K50" s="28"/>
      <c r="L50" s="32">
        <f t="shared" si="8"/>
        <v>127267.71453472196</v>
      </c>
      <c r="N50" s="660">
        <f t="shared" si="7"/>
        <v>127267.71453472196</v>
      </c>
    </row>
    <row r="51" spans="1:14" ht="15.75">
      <c r="A51" s="18">
        <v>35</v>
      </c>
      <c r="B51" s="9" t="s">
        <v>29</v>
      </c>
      <c r="C51" s="29">
        <f>+'Sch 4 - 12 Months'!O42</f>
        <v>279705.99</v>
      </c>
      <c r="D51" s="29">
        <f>+'WP-11, pg 2 - Non-Regulated'!F31</f>
        <v>115653.34097545237</v>
      </c>
      <c r="E51" s="29">
        <f t="shared" si="4"/>
        <v>164052.6490245476</v>
      </c>
      <c r="F51" s="36"/>
      <c r="H51" s="28"/>
      <c r="I51" s="32">
        <f t="shared" si="5"/>
        <v>164052.6490245476</v>
      </c>
      <c r="J51" s="32">
        <f>+'Sch 2, pg 2 - Forecast'!N52</f>
        <v>73071.297272044292</v>
      </c>
      <c r="K51" s="28" t="s">
        <v>51</v>
      </c>
      <c r="L51" s="32">
        <f t="shared" si="8"/>
        <v>237123.94629659189</v>
      </c>
      <c r="N51" s="660">
        <f t="shared" si="7"/>
        <v>237123.94629659189</v>
      </c>
    </row>
    <row r="52" spans="1:14" ht="15.75">
      <c r="A52" s="18">
        <v>36</v>
      </c>
      <c r="B52" s="9" t="s">
        <v>723</v>
      </c>
      <c r="C52" s="29">
        <f>+'Sch 4 - 12 Months'!O43</f>
        <v>58633.5</v>
      </c>
      <c r="D52" s="29">
        <f>+'WP-11, pg 2 - Non-Regulated'!F32</f>
        <v>26155.174088771219</v>
      </c>
      <c r="E52" s="29">
        <f t="shared" si="4"/>
        <v>32478.325911228781</v>
      </c>
      <c r="F52" s="36"/>
      <c r="H52" s="28"/>
      <c r="I52" s="32">
        <f t="shared" si="5"/>
        <v>32478.325911228781</v>
      </c>
      <c r="J52" s="36"/>
      <c r="K52" s="28"/>
      <c r="L52" s="32">
        <f t="shared" si="8"/>
        <v>32478.325911228781</v>
      </c>
      <c r="N52" s="660">
        <f t="shared" si="7"/>
        <v>32478.325911228781</v>
      </c>
    </row>
    <row r="53" spans="1:14" ht="15.75">
      <c r="A53" s="18">
        <v>37</v>
      </c>
      <c r="B53" s="9" t="s">
        <v>709</v>
      </c>
      <c r="C53" s="29">
        <f>+'Sch 4 - 12 Months'!O44</f>
        <v>624299.44000000006</v>
      </c>
      <c r="D53" s="29">
        <f>+'WP-11, pg 2 - Non-Regulated'!F33</f>
        <v>278486.88099332945</v>
      </c>
      <c r="E53" s="29">
        <f t="shared" si="4"/>
        <v>345812.55900667061</v>
      </c>
      <c r="F53" s="28"/>
      <c r="G53" s="38"/>
      <c r="H53" s="28"/>
      <c r="I53" s="32">
        <f t="shared" si="5"/>
        <v>345812.55900667061</v>
      </c>
      <c r="J53" s="32"/>
      <c r="K53" s="28"/>
      <c r="L53" s="32">
        <f t="shared" si="8"/>
        <v>345812.55900667061</v>
      </c>
      <c r="N53" s="660">
        <f t="shared" si="7"/>
        <v>345812.55900667061</v>
      </c>
    </row>
    <row r="54" spans="1:14" ht="15.75">
      <c r="A54" s="18">
        <v>38</v>
      </c>
      <c r="B54" s="9" t="s">
        <v>706</v>
      </c>
      <c r="C54" s="29">
        <f>+'Sch 4 - 12 Months'!O45</f>
        <v>22570.820000000007</v>
      </c>
      <c r="D54" s="29">
        <f>+'WP-11, pg 2 - Non-Regulated'!F34</f>
        <v>15051.784575996846</v>
      </c>
      <c r="E54" s="29">
        <f t="shared" si="4"/>
        <v>7519.0354240031611</v>
      </c>
      <c r="F54" s="28"/>
      <c r="G54" s="32"/>
      <c r="H54" s="28"/>
      <c r="I54" s="32">
        <f t="shared" si="5"/>
        <v>7519.0354240031611</v>
      </c>
      <c r="J54" s="32"/>
      <c r="K54" s="28"/>
      <c r="L54" s="32">
        <f t="shared" si="8"/>
        <v>7519.0354240031611</v>
      </c>
      <c r="N54" s="660">
        <f t="shared" si="7"/>
        <v>7519.0354240031611</v>
      </c>
    </row>
    <row r="55" spans="1:14" ht="15.75">
      <c r="A55" s="18">
        <v>39</v>
      </c>
      <c r="B55" s="9" t="s">
        <v>719</v>
      </c>
      <c r="C55" s="29">
        <f>+'Sch 4 - 12 Months'!O46</f>
        <v>530274.07000000007</v>
      </c>
      <c r="D55" s="29">
        <f>+'WP-11, pg 2 - Non-Regulated'!F35</f>
        <v>236544.1362977011</v>
      </c>
      <c r="E55" s="29">
        <f t="shared" si="4"/>
        <v>293729.93370229896</v>
      </c>
      <c r="F55" s="28"/>
      <c r="G55" s="32"/>
      <c r="H55" s="28"/>
      <c r="I55" s="32">
        <f t="shared" si="5"/>
        <v>293729.93370229896</v>
      </c>
      <c r="J55" s="32">
        <f>+'Sch 2, pg 2 - Forecast'!L56</f>
        <v>148929.84302302988</v>
      </c>
      <c r="K55" s="28" t="s">
        <v>1039</v>
      </c>
      <c r="L55" s="32">
        <f t="shared" si="8"/>
        <v>442659.77672532888</v>
      </c>
      <c r="N55" s="660">
        <f t="shared" si="7"/>
        <v>442659.77672532888</v>
      </c>
    </row>
    <row r="56" spans="1:14" ht="15.75">
      <c r="A56" s="18">
        <v>40</v>
      </c>
      <c r="B56" s="9" t="s">
        <v>718</v>
      </c>
      <c r="C56" s="29">
        <f>+'Sch 4 - 12 Months'!O47</f>
        <v>6920</v>
      </c>
      <c r="D56" s="29">
        <f>+'WP-11, pg 2 - Non-Regulated'!F36</f>
        <v>6920</v>
      </c>
      <c r="E56" s="29">
        <f t="shared" si="4"/>
        <v>0</v>
      </c>
      <c r="F56" s="36"/>
      <c r="H56" s="28"/>
      <c r="I56" s="32">
        <f t="shared" si="5"/>
        <v>0</v>
      </c>
      <c r="J56" s="36"/>
      <c r="K56" s="28"/>
      <c r="L56" s="32">
        <f t="shared" si="8"/>
        <v>0</v>
      </c>
      <c r="N56" s="660">
        <f t="shared" si="7"/>
        <v>0</v>
      </c>
    </row>
    <row r="57" spans="1:14" ht="15.75">
      <c r="A57" s="18">
        <v>41</v>
      </c>
      <c r="B57" s="9" t="s">
        <v>716</v>
      </c>
      <c r="C57" s="29">
        <f>+'Sch 4 - 12 Months'!O48</f>
        <v>216780.61</v>
      </c>
      <c r="D57" s="29">
        <f>+'WP-11, pg 2 - Non-Regulated'!F37</f>
        <v>96701.281581689967</v>
      </c>
      <c r="E57" s="29">
        <f t="shared" si="4"/>
        <v>120079.32841831002</v>
      </c>
      <c r="F57" s="28"/>
      <c r="G57" s="38"/>
      <c r="H57" s="28"/>
      <c r="I57" s="32">
        <f t="shared" si="5"/>
        <v>120079.32841831002</v>
      </c>
      <c r="J57" s="36"/>
      <c r="K57" s="28"/>
      <c r="L57" s="32">
        <f t="shared" si="8"/>
        <v>120079.32841831002</v>
      </c>
      <c r="M57" s="901"/>
      <c r="N57" s="660">
        <f t="shared" si="7"/>
        <v>120079.32841831002</v>
      </c>
    </row>
    <row r="58" spans="1:14" ht="15.75">
      <c r="A58" s="18">
        <v>42</v>
      </c>
      <c r="B58" s="9" t="s">
        <v>729</v>
      </c>
      <c r="C58" s="29">
        <f>+'Sch 4 - 12 Months'!O49</f>
        <v>0</v>
      </c>
      <c r="D58" s="29">
        <f>+'WP-11, pg 2 - Non-Regulated'!F38</f>
        <v>0</v>
      </c>
      <c r="E58" s="29">
        <f t="shared" si="4"/>
        <v>0</v>
      </c>
      <c r="F58" s="28"/>
      <c r="G58" s="38"/>
      <c r="H58" s="28"/>
      <c r="I58" s="32">
        <f t="shared" si="5"/>
        <v>0</v>
      </c>
      <c r="J58" s="32"/>
      <c r="K58" s="28"/>
      <c r="L58" s="32">
        <f t="shared" si="8"/>
        <v>0</v>
      </c>
      <c r="N58" s="660">
        <f t="shared" si="7"/>
        <v>0</v>
      </c>
    </row>
    <row r="59" spans="1:14" ht="15.75">
      <c r="A59" s="18">
        <v>43</v>
      </c>
      <c r="B59" s="9" t="s">
        <v>721</v>
      </c>
      <c r="C59" s="29">
        <f>+'Sch 4 - 12 Months'!O50</f>
        <v>20418.990000000002</v>
      </c>
      <c r="D59" s="29">
        <f>+'WP-11, pg 2 - Non-Regulated'!F39</f>
        <v>9108.483003178706</v>
      </c>
      <c r="E59" s="29">
        <f t="shared" si="4"/>
        <v>11310.506996821296</v>
      </c>
      <c r="F59" s="29"/>
      <c r="G59" s="36"/>
      <c r="H59" s="28"/>
      <c r="I59" s="32">
        <f t="shared" si="5"/>
        <v>11310.506996821296</v>
      </c>
      <c r="J59" s="32"/>
      <c r="K59" s="28"/>
      <c r="L59" s="32">
        <f t="shared" si="8"/>
        <v>11310.506996821296</v>
      </c>
      <c r="N59" s="660">
        <f t="shared" si="7"/>
        <v>11310.506996821296</v>
      </c>
    </row>
    <row r="60" spans="1:14" ht="15.75">
      <c r="A60" s="18">
        <v>44</v>
      </c>
      <c r="B60" s="9" t="s">
        <v>710</v>
      </c>
      <c r="C60" s="29">
        <f>+'Sch 4 - 12 Months'!O51</f>
        <v>44068.789999999994</v>
      </c>
      <c r="D60" s="29">
        <f>+'WP-11, pg 2 - Non-Regulated'!F40</f>
        <v>19658.162557778403</v>
      </c>
      <c r="E60" s="29">
        <f t="shared" si="4"/>
        <v>24410.62744222159</v>
      </c>
      <c r="F60" s="29"/>
      <c r="G60" s="32"/>
      <c r="H60" s="28"/>
      <c r="I60" s="32">
        <f t="shared" si="5"/>
        <v>24410.62744222159</v>
      </c>
      <c r="J60" s="32"/>
      <c r="K60" s="28"/>
      <c r="L60" s="32">
        <f t="shared" si="8"/>
        <v>24410.62744222159</v>
      </c>
      <c r="N60" s="660">
        <f t="shared" si="7"/>
        <v>24410.62744222159</v>
      </c>
    </row>
    <row r="61" spans="1:14" ht="15.75">
      <c r="A61" s="18">
        <v>45</v>
      </c>
      <c r="B61" s="9" t="s">
        <v>724</v>
      </c>
      <c r="C61" s="29">
        <f>+'Sch 4 - 12 Months'!O52</f>
        <v>0</v>
      </c>
      <c r="D61" s="29">
        <f>+'WP-11, pg 2 - Non-Regulated'!F41</f>
        <v>0</v>
      </c>
      <c r="E61" s="29">
        <f t="shared" si="4"/>
        <v>0</v>
      </c>
      <c r="F61" s="29"/>
      <c r="G61" s="32"/>
      <c r="H61" s="28"/>
      <c r="I61" s="32">
        <f t="shared" si="5"/>
        <v>0</v>
      </c>
      <c r="J61" s="32"/>
      <c r="K61" s="28"/>
      <c r="L61" s="32">
        <f t="shared" si="8"/>
        <v>0</v>
      </c>
      <c r="N61" s="660">
        <f t="shared" si="7"/>
        <v>0</v>
      </c>
    </row>
    <row r="62" spans="1:14" ht="15.75">
      <c r="A62" s="18">
        <v>46</v>
      </c>
      <c r="B62" s="9" t="s">
        <v>715</v>
      </c>
      <c r="C62" s="29">
        <f>+'Sch 4 - 12 Months'!O53</f>
        <v>65246.69</v>
      </c>
      <c r="D62" s="29">
        <f>+'WP-11, pg 2 - Non-Regulated'!F42</f>
        <v>29105.179388337525</v>
      </c>
      <c r="E62" s="29">
        <f t="shared" si="4"/>
        <v>36141.510611662481</v>
      </c>
      <c r="F62" s="29"/>
      <c r="G62" s="32"/>
      <c r="H62" s="28"/>
      <c r="I62" s="32">
        <f t="shared" si="5"/>
        <v>36141.510611662481</v>
      </c>
      <c r="J62" s="32"/>
      <c r="K62" s="28"/>
      <c r="L62" s="32">
        <f t="shared" si="8"/>
        <v>36141.510611662481</v>
      </c>
      <c r="N62" s="660">
        <f t="shared" si="7"/>
        <v>36141.510611662481</v>
      </c>
    </row>
    <row r="63" spans="1:14" ht="15.75">
      <c r="A63" s="18">
        <v>47</v>
      </c>
      <c r="B63" s="9" t="s">
        <v>350</v>
      </c>
      <c r="C63" s="29">
        <f>+'Sch 4 - 12 Months'!O54</f>
        <v>56841.99</v>
      </c>
      <c r="D63" s="29">
        <f>+'WP-11, pg 2 - Non-Regulated'!F43</f>
        <v>25356.019067635272</v>
      </c>
      <c r="E63" s="29">
        <f t="shared" si="4"/>
        <v>31485.970932364726</v>
      </c>
      <c r="F63" s="29"/>
      <c r="G63" s="32"/>
      <c r="H63" s="28"/>
      <c r="I63" s="32">
        <f t="shared" si="5"/>
        <v>31485.970932364726</v>
      </c>
      <c r="J63" s="234"/>
      <c r="K63" s="28"/>
      <c r="L63" s="32">
        <f t="shared" si="8"/>
        <v>31485.970932364726</v>
      </c>
      <c r="N63" s="660">
        <f t="shared" si="7"/>
        <v>31485.970932364726</v>
      </c>
    </row>
    <row r="64" spans="1:14" ht="15.75">
      <c r="A64" s="18">
        <v>48</v>
      </c>
      <c r="B64" s="9" t="s">
        <v>730</v>
      </c>
      <c r="C64" s="29">
        <f>+'Sch 4 - 12 Months'!O55</f>
        <v>32516.27</v>
      </c>
      <c r="D64" s="29">
        <f>+'WP-11, pg 2 - Non-Regulated'!F44</f>
        <v>0</v>
      </c>
      <c r="E64" s="29">
        <f t="shared" si="4"/>
        <v>32516.27</v>
      </c>
      <c r="F64" s="29"/>
      <c r="G64" s="32"/>
      <c r="H64" s="28"/>
      <c r="I64" s="32">
        <f t="shared" si="5"/>
        <v>32516.27</v>
      </c>
      <c r="J64" s="32"/>
      <c r="K64" s="28"/>
      <c r="L64" s="32">
        <f t="shared" si="8"/>
        <v>32516.27</v>
      </c>
      <c r="N64" s="660">
        <f t="shared" si="7"/>
        <v>32516.27</v>
      </c>
    </row>
    <row r="65" spans="1:15" ht="15.75">
      <c r="A65" s="18">
        <v>49</v>
      </c>
      <c r="B65" s="9" t="s">
        <v>704</v>
      </c>
      <c r="C65" s="29">
        <f>+'Sch 4 - 12 Months'!O56</f>
        <v>449875.89000000007</v>
      </c>
      <c r="D65" s="29">
        <f>+'WP-11, pg 2 - Non-Regulated'!F45</f>
        <v>200680.19513232014</v>
      </c>
      <c r="E65" s="29">
        <f t="shared" si="4"/>
        <v>249195.69486767994</v>
      </c>
      <c r="F65" s="29"/>
      <c r="G65" s="38"/>
      <c r="H65" s="28"/>
      <c r="I65" s="32">
        <f t="shared" si="5"/>
        <v>249195.69486767994</v>
      </c>
      <c r="J65" s="32"/>
      <c r="K65" s="28"/>
      <c r="L65" s="32">
        <f t="shared" si="8"/>
        <v>249195.69486767994</v>
      </c>
      <c r="N65" s="660">
        <f t="shared" si="7"/>
        <v>249195.69486767994</v>
      </c>
    </row>
    <row r="66" spans="1:15" ht="15.75">
      <c r="A66" s="18">
        <v>50</v>
      </c>
      <c r="B66" s="9" t="s">
        <v>703</v>
      </c>
      <c r="C66" s="29">
        <f>+'Sch 4 - 12 Months'!O57</f>
        <v>51492.84</v>
      </c>
      <c r="D66" s="29">
        <f>+'WP-11, pg 2 - Non-Regulated'!F46</f>
        <v>51492.84</v>
      </c>
      <c r="E66" s="29">
        <f t="shared" si="4"/>
        <v>0</v>
      </c>
      <c r="F66" s="29"/>
      <c r="G66" s="32"/>
      <c r="H66" s="28"/>
      <c r="I66" s="32">
        <f t="shared" si="5"/>
        <v>0</v>
      </c>
      <c r="J66" s="32"/>
      <c r="K66" s="28"/>
      <c r="L66" s="32">
        <f t="shared" si="8"/>
        <v>0</v>
      </c>
      <c r="N66" s="660">
        <f t="shared" si="7"/>
        <v>0</v>
      </c>
    </row>
    <row r="67" spans="1:15" ht="15.75">
      <c r="A67" s="18">
        <v>51</v>
      </c>
      <c r="B67" s="9" t="s">
        <v>352</v>
      </c>
      <c r="C67" s="29">
        <f>+'Sch 4 - 12 Months'!O58</f>
        <v>6000</v>
      </c>
      <c r="D67" s="29">
        <f>+'WP-11, pg 2 - Non-Regulated'!F47</f>
        <v>2676.4741066562174</v>
      </c>
      <c r="E67" s="29">
        <f t="shared" si="4"/>
        <v>3323.5258933437826</v>
      </c>
      <c r="F67" s="28"/>
      <c r="G67" s="32"/>
      <c r="H67" s="28"/>
      <c r="I67" s="32">
        <f t="shared" si="5"/>
        <v>3323.5258933437826</v>
      </c>
      <c r="J67" s="32"/>
      <c r="K67" s="28"/>
      <c r="L67" s="32">
        <f t="shared" si="8"/>
        <v>3323.5258933437826</v>
      </c>
      <c r="N67" s="660">
        <f t="shared" si="7"/>
        <v>3323.5258933437826</v>
      </c>
    </row>
    <row r="68" spans="1:15" ht="15.75">
      <c r="A68" s="18">
        <v>52</v>
      </c>
      <c r="B68" s="9" t="s">
        <v>713</v>
      </c>
      <c r="C68" s="29">
        <f>+'Sch 4 - 12 Months'!O59</f>
        <v>205712.58</v>
      </c>
      <c r="D68" s="29">
        <f>+'WP-11, pg 2 - Non-Regulated'!F48</f>
        <v>91764.06563057426</v>
      </c>
      <c r="E68" s="29">
        <f t="shared" si="4"/>
        <v>113948.51436942573</v>
      </c>
      <c r="F68" s="29"/>
      <c r="G68" s="32"/>
      <c r="H68" s="28"/>
      <c r="I68" s="32">
        <f t="shared" si="5"/>
        <v>113948.51436942573</v>
      </c>
      <c r="J68" s="32">
        <f>+'Sch 2, pg 2 - Forecast'!N69</f>
        <v>0</v>
      </c>
      <c r="K68" s="28"/>
      <c r="L68" s="32">
        <f t="shared" si="8"/>
        <v>113948.51436942573</v>
      </c>
      <c r="N68" s="660">
        <f t="shared" si="7"/>
        <v>113948.51436942573</v>
      </c>
    </row>
    <row r="69" spans="1:15" ht="15.75">
      <c r="A69" s="18">
        <v>53</v>
      </c>
      <c r="B69" s="9" t="s">
        <v>707</v>
      </c>
      <c r="C69" s="29">
        <f>+'Sch 4 - 12 Months'!O60</f>
        <v>259702.26</v>
      </c>
      <c r="D69" s="29">
        <f>+'WP-11, pg 2 - Non-Regulated'!F49</f>
        <v>115847.72905501678</v>
      </c>
      <c r="E69" s="29">
        <f t="shared" si="4"/>
        <v>143854.53094498324</v>
      </c>
      <c r="F69" s="28"/>
      <c r="G69" s="32"/>
      <c r="H69" s="28"/>
      <c r="I69" s="32">
        <f t="shared" si="5"/>
        <v>143854.53094498324</v>
      </c>
      <c r="J69" s="32"/>
      <c r="K69" s="28"/>
      <c r="L69" s="32">
        <f t="shared" si="8"/>
        <v>143854.53094498324</v>
      </c>
      <c r="N69" s="660">
        <f t="shared" si="7"/>
        <v>143854.53094498324</v>
      </c>
    </row>
    <row r="70" spans="1:15" ht="15.75">
      <c r="A70" s="18">
        <v>54</v>
      </c>
      <c r="B70" s="9" t="s">
        <v>725</v>
      </c>
      <c r="C70" s="29">
        <f>+'Sch 4 - 12 Months'!O61</f>
        <v>170.51</v>
      </c>
      <c r="D70" s="29">
        <f>+'WP-11, pg 2 - Non-Regulated'!F50</f>
        <v>76.060933320991936</v>
      </c>
      <c r="E70" s="29">
        <f t="shared" si="4"/>
        <v>94.449066679008055</v>
      </c>
      <c r="F70" s="28"/>
      <c r="G70" s="32"/>
      <c r="H70" s="28"/>
      <c r="I70" s="32">
        <f t="shared" si="5"/>
        <v>94.449066679008055</v>
      </c>
      <c r="J70" s="32"/>
      <c r="K70" s="28"/>
      <c r="L70" s="32">
        <f t="shared" si="8"/>
        <v>94.449066679008055</v>
      </c>
      <c r="N70" s="660">
        <f t="shared" si="7"/>
        <v>94.449066679008055</v>
      </c>
    </row>
    <row r="71" spans="1:15" ht="15.75">
      <c r="A71" s="18">
        <v>55</v>
      </c>
      <c r="B71" s="9" t="s">
        <v>717</v>
      </c>
      <c r="C71" s="29">
        <f>+'Sch 4 - 12 Months'!O62</f>
        <v>10409.300000000001</v>
      </c>
      <c r="D71" s="29">
        <f>+'WP-11, pg 2 - Non-Regulated'!F51</f>
        <v>4643.3703197360937</v>
      </c>
      <c r="E71" s="29">
        <f t="shared" si="4"/>
        <v>5765.9296802639074</v>
      </c>
      <c r="F71" s="28"/>
      <c r="G71" s="37"/>
      <c r="H71" s="28"/>
      <c r="I71" s="32">
        <f t="shared" si="5"/>
        <v>5765.9296802639074</v>
      </c>
      <c r="J71" s="32"/>
      <c r="K71" s="28"/>
      <c r="L71" s="32">
        <f t="shared" si="8"/>
        <v>5765.9296802639074</v>
      </c>
      <c r="N71" s="660">
        <f t="shared" si="7"/>
        <v>5765.9296802639074</v>
      </c>
    </row>
    <row r="72" spans="1:15" ht="15.75">
      <c r="A72" s="18">
        <v>56</v>
      </c>
      <c r="B72" s="9" t="s">
        <v>731</v>
      </c>
      <c r="C72" s="29">
        <f>+'Sch 4 - 12 Months'!O63</f>
        <v>53535.37</v>
      </c>
      <c r="D72" s="29">
        <f>+'WP-11, pg 2 - Non-Regulated'!F52</f>
        <v>23881.005265876676</v>
      </c>
      <c r="E72" s="29">
        <f t="shared" si="4"/>
        <v>29654.364734123326</v>
      </c>
      <c r="F72" s="28"/>
      <c r="G72" s="36"/>
      <c r="H72" s="28"/>
      <c r="I72" s="32">
        <f t="shared" si="5"/>
        <v>29654.364734123326</v>
      </c>
      <c r="J72" s="32"/>
      <c r="K72" s="28"/>
      <c r="L72" s="32">
        <f t="shared" si="8"/>
        <v>29654.364734123326</v>
      </c>
      <c r="N72" s="660">
        <f t="shared" si="7"/>
        <v>29654.364734123326</v>
      </c>
    </row>
    <row r="73" spans="1:15" ht="15.75">
      <c r="A73" s="18">
        <v>57</v>
      </c>
      <c r="B73" s="9" t="s">
        <v>712</v>
      </c>
      <c r="C73" s="29">
        <f>+'Sch 4 - 12 Months'!O64</f>
        <v>8936.41</v>
      </c>
      <c r="D73" s="29">
        <f>+'WP-11, pg 2 - Non-Regulated'!F53</f>
        <v>0</v>
      </c>
      <c r="E73" s="29">
        <f t="shared" si="4"/>
        <v>8936.41</v>
      </c>
      <c r="F73" s="28"/>
      <c r="G73" s="38">
        <f>+'Sch 1, pg 2 - Restated'!T67</f>
        <v>-8936.41</v>
      </c>
      <c r="H73" s="28" t="s">
        <v>44</v>
      </c>
      <c r="I73" s="32">
        <f t="shared" si="5"/>
        <v>0</v>
      </c>
      <c r="J73" s="32"/>
      <c r="K73" s="28"/>
      <c r="L73" s="32">
        <f t="shared" si="8"/>
        <v>0</v>
      </c>
      <c r="N73" s="660">
        <f t="shared" si="7"/>
        <v>0</v>
      </c>
    </row>
    <row r="74" spans="1:15" ht="15.75">
      <c r="A74" s="18">
        <v>58</v>
      </c>
      <c r="B74" s="9" t="s">
        <v>728</v>
      </c>
      <c r="C74" s="29">
        <f>+'Sch 4 - 12 Months'!O65</f>
        <v>-0.77</v>
      </c>
      <c r="D74" s="29">
        <f>+'WP-11, pg 2 - Non-Regulated'!F54</f>
        <v>0</v>
      </c>
      <c r="E74" s="29">
        <f t="shared" si="4"/>
        <v>-0.77</v>
      </c>
      <c r="F74" s="28"/>
      <c r="G74" s="32"/>
      <c r="H74" s="28"/>
      <c r="I74" s="32">
        <f t="shared" si="5"/>
        <v>-0.77</v>
      </c>
      <c r="J74" s="32"/>
      <c r="K74" s="28"/>
      <c r="L74" s="32">
        <f t="shared" si="8"/>
        <v>-0.77</v>
      </c>
      <c r="N74" s="660">
        <f t="shared" si="7"/>
        <v>-0.77</v>
      </c>
    </row>
    <row r="75" spans="1:15" ht="15.75">
      <c r="A75" s="18">
        <v>59</v>
      </c>
      <c r="B75" s="9" t="s">
        <v>30</v>
      </c>
      <c r="C75" s="29">
        <f>+'Sch 4 - 12 Months'!O66</f>
        <v>880.98</v>
      </c>
      <c r="D75" s="29">
        <f>+'WP-11, pg 2 - Non-Regulated'!F55</f>
        <v>0</v>
      </c>
      <c r="E75" s="29">
        <f t="shared" si="4"/>
        <v>880.98</v>
      </c>
      <c r="F75" s="28"/>
      <c r="G75" s="32"/>
      <c r="H75" s="28"/>
      <c r="I75" s="32">
        <f t="shared" si="5"/>
        <v>880.98</v>
      </c>
      <c r="J75" s="32">
        <f>+'Sch 2, pg 2 - Forecast'!N76</f>
        <v>40483.363000782047</v>
      </c>
      <c r="K75" s="28" t="s">
        <v>53</v>
      </c>
      <c r="L75" s="32">
        <f t="shared" si="8"/>
        <v>41364.34300078205</v>
      </c>
      <c r="N75" s="660">
        <f t="shared" si="7"/>
        <v>41364.34300078205</v>
      </c>
    </row>
    <row r="76" spans="1:15" ht="15.75">
      <c r="A76" s="18">
        <v>60</v>
      </c>
      <c r="B76" s="9" t="s">
        <v>93</v>
      </c>
      <c r="C76" s="29">
        <f>+'Sch 4 - 12 Months'!O67</f>
        <v>187892.43999999997</v>
      </c>
      <c r="D76" s="29">
        <f>+'WP-11, pg 2 - Non-Regulated'!F56</f>
        <v>0</v>
      </c>
      <c r="E76" s="29">
        <f t="shared" si="4"/>
        <v>187892.43999999997</v>
      </c>
      <c r="F76" s="28"/>
      <c r="G76" s="32">
        <f>+'Sch 1, pg 2 - Restated'!T70</f>
        <v>-187892.43999999997</v>
      </c>
      <c r="H76" s="28" t="s">
        <v>46</v>
      </c>
      <c r="I76" s="32">
        <f t="shared" si="5"/>
        <v>0</v>
      </c>
      <c r="J76" s="32"/>
      <c r="K76" s="28"/>
      <c r="L76" s="32">
        <f t="shared" si="8"/>
        <v>0</v>
      </c>
      <c r="N76" s="660">
        <f t="shared" si="7"/>
        <v>0</v>
      </c>
    </row>
    <row r="77" spans="1:15" ht="15.75">
      <c r="A77" s="18">
        <v>61</v>
      </c>
      <c r="B77" s="9" t="s">
        <v>40</v>
      </c>
      <c r="C77" s="29">
        <f>+'Sch 4 - 12 Months'!O68</f>
        <v>1186898.1299999999</v>
      </c>
      <c r="D77" s="29">
        <f>+'WP-11, pg 2 - Non-Regulated'!F57</f>
        <v>576334.07177733688</v>
      </c>
      <c r="E77" s="29">
        <f t="shared" si="4"/>
        <v>610564.05822266301</v>
      </c>
      <c r="F77" s="28"/>
      <c r="G77" s="32">
        <f>+'Sch 1, pg 2 - Restated'!T71</f>
        <v>41636.017060331535</v>
      </c>
      <c r="H77" s="28" t="s">
        <v>43</v>
      </c>
      <c r="I77" s="32">
        <f t="shared" si="5"/>
        <v>652200.07528299454</v>
      </c>
      <c r="J77" s="32">
        <f>+'Sch 2, pg 2 - Forecast'!N78</f>
        <v>204412.35403025232</v>
      </c>
      <c r="K77" s="28" t="s">
        <v>53</v>
      </c>
      <c r="L77" s="32">
        <f t="shared" si="8"/>
        <v>856612.42931324686</v>
      </c>
      <c r="N77" s="660">
        <f t="shared" si="7"/>
        <v>856612.42931324686</v>
      </c>
    </row>
    <row r="78" spans="1:15" ht="15.75">
      <c r="A78" s="18">
        <v>62</v>
      </c>
      <c r="B78" s="9" t="s">
        <v>413</v>
      </c>
      <c r="C78" s="29">
        <v>0</v>
      </c>
      <c r="D78" s="29">
        <f>+'WP-11, pg 2 - Non-Regulated'!F58</f>
        <v>0</v>
      </c>
      <c r="E78" s="29">
        <f t="shared" si="4"/>
        <v>0</v>
      </c>
      <c r="F78" s="28"/>
      <c r="G78" s="32"/>
      <c r="H78" s="28"/>
      <c r="I78" s="32">
        <f t="shared" si="5"/>
        <v>0</v>
      </c>
      <c r="J78" s="32">
        <f>+'Sch 2, pg 2 - Forecast'!N79</f>
        <v>5577.8</v>
      </c>
      <c r="K78" s="28" t="s">
        <v>74</v>
      </c>
      <c r="L78" s="32">
        <f t="shared" ref="L78" si="9">I78+J78</f>
        <v>5577.8</v>
      </c>
      <c r="N78" s="660">
        <f t="shared" si="7"/>
        <v>5577.8</v>
      </c>
    </row>
    <row r="79" spans="1:15" ht="15.75">
      <c r="B79" s="9"/>
      <c r="C79" s="29"/>
      <c r="D79" s="29"/>
      <c r="E79" s="29">
        <f t="shared" si="4"/>
        <v>0</v>
      </c>
      <c r="F79" s="28"/>
      <c r="G79" s="32"/>
      <c r="H79" s="28"/>
      <c r="I79" s="32">
        <f t="shared" si="5"/>
        <v>0</v>
      </c>
      <c r="J79" s="32"/>
      <c r="K79" s="28"/>
      <c r="L79" s="32"/>
      <c r="N79" s="660">
        <f t="shared" si="7"/>
        <v>0</v>
      </c>
    </row>
    <row r="80" spans="1:15" ht="15.75">
      <c r="B80" s="449" t="s">
        <v>13</v>
      </c>
      <c r="C80" s="21">
        <f>SUM(C30:C78)</f>
        <v>13151787.940000001</v>
      </c>
      <c r="D80" s="21">
        <f>SUM(D30:D78)</f>
        <v>5544254.795821581</v>
      </c>
      <c r="E80" s="21">
        <f>SUM(E30:E78)</f>
        <v>7607533.1441784203</v>
      </c>
      <c r="F80" s="21">
        <f>SUM(F30:F78)</f>
        <v>0</v>
      </c>
      <c r="G80" s="21">
        <f>SUM(G30:G78)</f>
        <v>-190924.80516178114</v>
      </c>
      <c r="H80" s="30"/>
      <c r="I80" s="30">
        <f>SUM(I30:I78)</f>
        <v>7416608.3390166406</v>
      </c>
      <c r="J80" s="30">
        <f>SUM(J30:J78)</f>
        <v>787573.42691126338</v>
      </c>
      <c r="K80" s="30"/>
      <c r="L80" s="30">
        <f>SUM(L30:L78)</f>
        <v>8204181.7659279015</v>
      </c>
      <c r="M80" s="30">
        <f>SUM(M30:M78)</f>
        <v>0</v>
      </c>
      <c r="N80" s="30">
        <f>SUM(N30:N78)</f>
        <v>8204181.7659279015</v>
      </c>
      <c r="O80" s="459"/>
    </row>
    <row r="81" spans="2:15" ht="15.75">
      <c r="B81" s="8"/>
      <c r="C81" s="19"/>
      <c r="D81" s="19"/>
      <c r="E81" s="19"/>
      <c r="F81" s="28"/>
      <c r="G81" s="32"/>
      <c r="H81" s="28"/>
      <c r="I81" s="32"/>
      <c r="J81" s="32"/>
      <c r="K81" s="28"/>
      <c r="L81" s="32"/>
    </row>
    <row r="82" spans="2:15" ht="15.75">
      <c r="B82" s="8"/>
      <c r="C82" s="19"/>
      <c r="D82" s="19"/>
      <c r="E82" s="19"/>
      <c r="F82" s="28"/>
      <c r="G82" s="32"/>
      <c r="H82" s="28"/>
      <c r="I82" s="32"/>
      <c r="J82" s="32"/>
      <c r="K82" s="28"/>
      <c r="L82" s="32"/>
    </row>
    <row r="83" spans="2:15">
      <c r="B83" s="11" t="s">
        <v>15</v>
      </c>
      <c r="C83" s="29">
        <f>C26-C80</f>
        <v>407180.9899999965</v>
      </c>
      <c r="D83" s="29"/>
      <c r="E83" s="29"/>
      <c r="F83" s="32"/>
      <c r="G83" s="32">
        <f>G26-G80</f>
        <v>475126.88191597525</v>
      </c>
      <c r="H83" s="28"/>
      <c r="I83" s="32">
        <f>I26-I80</f>
        <v>511314.62773755193</v>
      </c>
      <c r="J83" s="32">
        <f>+J26-J80</f>
        <v>-787573.42691126338</v>
      </c>
      <c r="K83" s="28"/>
      <c r="L83" s="32">
        <f>L26-L80</f>
        <v>-276258.79917370901</v>
      </c>
      <c r="N83" s="32">
        <f>N26-N80</f>
        <v>1097212.4345095884</v>
      </c>
      <c r="O83" s="661"/>
    </row>
    <row r="84" spans="2:15">
      <c r="B84" s="11" t="s">
        <v>353</v>
      </c>
      <c r="C84" s="19"/>
      <c r="D84" s="19"/>
      <c r="E84" s="19"/>
      <c r="F84" s="28"/>
      <c r="G84" s="32">
        <f>+G83-'Sch 1, pg 2 - Restated'!T75</f>
        <v>0</v>
      </c>
      <c r="H84" s="28"/>
      <c r="I84" s="32"/>
      <c r="J84" s="32">
        <f>+J83-'Sch 2, pg 2 - Forecast'!N82</f>
        <v>0</v>
      </c>
      <c r="K84" s="28"/>
      <c r="L84" s="32"/>
    </row>
    <row r="85" spans="2:15">
      <c r="B85" s="11" t="s">
        <v>714</v>
      </c>
      <c r="C85" s="19">
        <f>+'Sch 4 - 12 Months'!O74</f>
        <v>-2487.09</v>
      </c>
      <c r="D85" s="19"/>
      <c r="E85" s="19"/>
      <c r="F85" s="19"/>
      <c r="G85" s="32"/>
      <c r="H85" s="28"/>
      <c r="I85" s="32">
        <f>C85+G85+F85</f>
        <v>-2487.09</v>
      </c>
      <c r="J85" s="32"/>
      <c r="K85" s="28"/>
      <c r="L85" s="32">
        <f>I85+J85</f>
        <v>-2487.09</v>
      </c>
      <c r="N85" s="659">
        <f>+L85</f>
        <v>-2487.09</v>
      </c>
    </row>
    <row r="86" spans="2:15">
      <c r="B86" s="11" t="s">
        <v>1340</v>
      </c>
      <c r="C86" s="19">
        <v>7255</v>
      </c>
      <c r="D86" s="19"/>
      <c r="E86" s="19"/>
      <c r="F86" s="19"/>
      <c r="G86" s="32"/>
      <c r="H86" s="28"/>
      <c r="I86" s="32">
        <f>C86+G86+F86</f>
        <v>7255</v>
      </c>
      <c r="J86" s="32"/>
      <c r="K86" s="28"/>
      <c r="L86" s="32">
        <f>I86+J86</f>
        <v>7255</v>
      </c>
      <c r="N86" s="659"/>
    </row>
    <row r="87" spans="2:15">
      <c r="B87" s="11" t="s">
        <v>1339</v>
      </c>
      <c r="C87" s="51">
        <f>+'Sch 4 - 12 Months'!O75-C86</f>
        <v>273139.53000000003</v>
      </c>
      <c r="D87" s="593"/>
      <c r="E87" s="593"/>
      <c r="F87" s="19"/>
      <c r="G87" s="32"/>
      <c r="H87" s="28"/>
      <c r="I87" s="232">
        <f>C87+G87+F87</f>
        <v>273139.53000000003</v>
      </c>
      <c r="J87" s="32"/>
      <c r="K87" s="28"/>
      <c r="L87" s="232">
        <f>I87+J87</f>
        <v>273139.53000000003</v>
      </c>
      <c r="N87" s="232">
        <f>K87+L87</f>
        <v>273139.53000000003</v>
      </c>
    </row>
    <row r="88" spans="2:15">
      <c r="B88" s="11" t="s">
        <v>230</v>
      </c>
      <c r="C88" s="19">
        <f>SUM(C83:C87)</f>
        <v>685088.42999999644</v>
      </c>
      <c r="D88" s="19"/>
      <c r="E88" s="19"/>
      <c r="F88" s="19"/>
      <c r="G88" s="32"/>
      <c r="H88" s="28"/>
      <c r="I88" s="19">
        <f>SUM(I83:I87)</f>
        <v>789222.06773755187</v>
      </c>
      <c r="J88" s="32"/>
      <c r="K88" s="28"/>
      <c r="L88" s="19">
        <f>SUM(L83:L87)</f>
        <v>1648.6408262909972</v>
      </c>
      <c r="N88" s="19">
        <f>SUM(N83:N87)</f>
        <v>1367864.8745095883</v>
      </c>
    </row>
    <row r="89" spans="2:15">
      <c r="B89" s="11" t="s">
        <v>31</v>
      </c>
      <c r="C89" s="22">
        <f>C80/C26</f>
        <v>0.9699696199539859</v>
      </c>
      <c r="D89" s="22"/>
      <c r="E89" s="22"/>
      <c r="F89" s="35"/>
      <c r="G89" s="33"/>
      <c r="H89" s="35"/>
      <c r="I89" s="33">
        <f>I80/I26</f>
        <v>0.93550459182288304</v>
      </c>
      <c r="J89" s="33"/>
      <c r="K89" s="35"/>
      <c r="L89" s="33">
        <f>L80/L26</f>
        <v>1.0348463021565928</v>
      </c>
      <c r="N89" s="33">
        <f>N80/N26</f>
        <v>0.88203785251269307</v>
      </c>
    </row>
    <row r="90" spans="2:15">
      <c r="B90" s="11"/>
      <c r="C90" s="19"/>
      <c r="D90" s="19"/>
      <c r="E90" s="19"/>
      <c r="F90" s="26"/>
      <c r="G90" s="29"/>
      <c r="H90" s="26"/>
      <c r="I90" s="19"/>
      <c r="J90" s="19"/>
      <c r="K90" s="26"/>
      <c r="L90" s="19"/>
    </row>
    <row r="91" spans="2:15">
      <c r="B91" s="11" t="s">
        <v>414</v>
      </c>
      <c r="C91" s="19"/>
      <c r="D91" s="19"/>
      <c r="E91" s="19"/>
      <c r="F91" s="26"/>
      <c r="G91" s="29"/>
      <c r="H91" s="26"/>
      <c r="I91" s="19"/>
      <c r="J91" s="19"/>
      <c r="K91" s="26"/>
      <c r="L91" s="19"/>
    </row>
    <row r="92" spans="2:15">
      <c r="B92" s="11"/>
      <c r="C92" s="19"/>
      <c r="D92" s="19"/>
      <c r="E92" s="19"/>
      <c r="F92" s="26"/>
      <c r="G92" s="29"/>
      <c r="H92" s="26"/>
      <c r="I92" s="19"/>
      <c r="J92" s="19"/>
      <c r="K92" s="26"/>
      <c r="L92" s="19"/>
    </row>
    <row r="93" spans="2:15" ht="15.75">
      <c r="B93" s="8" t="s">
        <v>214</v>
      </c>
      <c r="C93" s="19"/>
      <c r="D93" s="19"/>
      <c r="E93" s="19"/>
      <c r="F93" s="26"/>
      <c r="G93" s="29"/>
      <c r="H93" s="26"/>
      <c r="I93" s="19"/>
      <c r="J93" s="19"/>
      <c r="K93" s="26"/>
      <c r="L93" s="19"/>
    </row>
    <row r="94" spans="2:15" ht="15.75">
      <c r="B94" s="8" t="s">
        <v>215</v>
      </c>
      <c r="C94" s="19"/>
      <c r="D94" s="19"/>
      <c r="E94" s="19"/>
      <c r="F94" s="26"/>
      <c r="G94" s="29"/>
      <c r="H94" s="26"/>
      <c r="I94" s="19"/>
      <c r="J94" s="19"/>
      <c r="K94" s="26"/>
      <c r="L94" s="19"/>
    </row>
    <row r="95" spans="2:15" ht="15.75">
      <c r="B95" s="8" t="s">
        <v>231</v>
      </c>
    </row>
  </sheetData>
  <mergeCells count="4">
    <mergeCell ref="B1:L1"/>
    <mergeCell ref="B3:L3"/>
    <mergeCell ref="B5:L5"/>
    <mergeCell ref="B6:L6"/>
  </mergeCells>
  <phoneticPr fontId="170" type="noConversion"/>
  <printOptions horizontalCentered="1"/>
  <pageMargins left="0.7" right="0.7" top="0.75" bottom="0.75" header="0.3" footer="0.3"/>
  <pageSetup scale="34" orientation="landscape" horizontalDpi="300" verticalDpi="300" r:id="rId1"/>
  <rowBreaks count="1" manualBreakCount="1">
    <brk id="5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N20"/>
  <sheetViews>
    <sheetView zoomScaleNormal="100" workbookViewId="0">
      <selection sqref="A1:I1"/>
    </sheetView>
  </sheetViews>
  <sheetFormatPr defaultColWidth="8.88671875" defaultRowHeight="15.75"/>
  <cols>
    <col min="1" max="1" width="5.88671875" style="1" customWidth="1"/>
    <col min="2" max="8" width="7.88671875" style="1" customWidth="1"/>
    <col min="9" max="9" width="16.109375" style="1" customWidth="1"/>
    <col min="10" max="11" width="8.88671875" style="1"/>
    <col min="12" max="12" width="9.88671875" style="1" customWidth="1"/>
    <col min="13" max="16384" width="8.88671875" style="1"/>
  </cols>
  <sheetData>
    <row r="1" spans="1:14" ht="16.5">
      <c r="A1" s="918" t="str">
        <f>+Operations!B1</f>
        <v>Consolidated Disposal Services, Inc.</v>
      </c>
      <c r="B1" s="918"/>
      <c r="C1" s="918"/>
      <c r="D1" s="918"/>
      <c r="E1" s="918"/>
      <c r="F1" s="918"/>
      <c r="G1" s="918"/>
      <c r="H1" s="918"/>
      <c r="I1" s="918"/>
    </row>
    <row r="3" spans="1:14" ht="16.5">
      <c r="A3" s="918" t="s">
        <v>119</v>
      </c>
      <c r="B3" s="918"/>
      <c r="C3" s="918"/>
      <c r="D3" s="918"/>
      <c r="E3" s="918"/>
      <c r="F3" s="918"/>
      <c r="G3" s="918"/>
      <c r="H3" s="918"/>
      <c r="I3" s="918"/>
    </row>
    <row r="5" spans="1:14" ht="16.5">
      <c r="A5" s="918" t="s">
        <v>1010</v>
      </c>
      <c r="B5" s="918"/>
      <c r="C5" s="918"/>
      <c r="D5" s="918"/>
      <c r="E5" s="918"/>
      <c r="F5" s="918"/>
      <c r="G5" s="918"/>
      <c r="H5" s="918"/>
      <c r="I5" s="918"/>
    </row>
    <row r="6" spans="1:14">
      <c r="D6" s="233"/>
    </row>
    <row r="7" spans="1:14" ht="15.6" customHeight="1">
      <c r="A7" s="930" t="s">
        <v>1007</v>
      </c>
      <c r="B7" s="930"/>
      <c r="C7" s="930"/>
      <c r="D7" s="930"/>
      <c r="E7" s="930"/>
      <c r="F7" s="930"/>
      <c r="G7" s="930"/>
      <c r="H7" s="930"/>
      <c r="I7" s="930"/>
      <c r="K7" s="14"/>
      <c r="L7" s="15"/>
      <c r="M7" s="14"/>
    </row>
    <row r="8" spans="1:14">
      <c r="A8" s="930"/>
      <c r="B8" s="930"/>
      <c r="C8" s="930"/>
      <c r="D8" s="930"/>
      <c r="E8" s="930"/>
      <c r="F8" s="930"/>
      <c r="G8" s="930"/>
      <c r="H8" s="930"/>
      <c r="I8" s="930"/>
    </row>
    <row r="9" spans="1:14">
      <c r="A9" s="930"/>
      <c r="B9" s="930"/>
      <c r="C9" s="930"/>
      <c r="D9" s="930"/>
      <c r="E9" s="930"/>
      <c r="F9" s="930"/>
      <c r="G9" s="930"/>
      <c r="H9" s="930"/>
      <c r="I9" s="930"/>
      <c r="K9" s="14"/>
      <c r="L9" s="16"/>
      <c r="M9" s="14"/>
      <c r="N9" s="16"/>
    </row>
    <row r="10" spans="1:14" ht="18" customHeight="1">
      <c r="A10" s="930"/>
      <c r="B10" s="930"/>
      <c r="C10" s="930"/>
      <c r="D10" s="930"/>
      <c r="E10" s="930"/>
      <c r="F10" s="930"/>
      <c r="G10" s="930"/>
      <c r="H10" s="930"/>
      <c r="I10" s="930"/>
    </row>
    <row r="11" spans="1:14">
      <c r="A11" s="930"/>
      <c r="B11" s="930"/>
      <c r="C11" s="930"/>
      <c r="D11" s="930"/>
      <c r="E11" s="930"/>
      <c r="F11" s="930"/>
      <c r="G11" s="930"/>
      <c r="H11" s="930"/>
      <c r="I11" s="930"/>
    </row>
    <row r="12" spans="1:14">
      <c r="A12" s="930"/>
      <c r="B12" s="930"/>
      <c r="C12" s="930"/>
      <c r="D12" s="930"/>
      <c r="E12" s="930"/>
      <c r="F12" s="930"/>
      <c r="G12" s="930"/>
      <c r="H12" s="930"/>
      <c r="I12" s="930"/>
    </row>
    <row r="13" spans="1:14">
      <c r="A13" s="930"/>
      <c r="B13" s="930"/>
      <c r="C13" s="930"/>
      <c r="D13" s="930"/>
      <c r="E13" s="930"/>
      <c r="F13" s="930"/>
      <c r="G13" s="930"/>
      <c r="H13" s="930"/>
      <c r="I13" s="930"/>
    </row>
    <row r="14" spans="1:14" ht="15.6" customHeight="1"/>
    <row r="15" spans="1:14">
      <c r="A15" s="929" t="s">
        <v>1008</v>
      </c>
      <c r="B15" s="929"/>
      <c r="C15" s="929"/>
      <c r="D15" s="929"/>
      <c r="E15" s="929"/>
      <c r="F15" s="929"/>
      <c r="G15" s="929"/>
      <c r="H15" s="929"/>
      <c r="I15" s="929"/>
    </row>
    <row r="16" spans="1:14">
      <c r="A16" s="929"/>
      <c r="B16" s="929"/>
      <c r="C16" s="929"/>
      <c r="D16" s="929"/>
      <c r="E16" s="929"/>
      <c r="F16" s="929"/>
      <c r="G16" s="929"/>
      <c r="H16" s="929"/>
      <c r="I16" s="929"/>
    </row>
    <row r="17" spans="1:9">
      <c r="A17" s="929"/>
      <c r="B17" s="929"/>
      <c r="C17" s="929"/>
      <c r="D17" s="929"/>
      <c r="E17" s="929"/>
      <c r="F17" s="929"/>
      <c r="G17" s="929"/>
      <c r="H17" s="929"/>
      <c r="I17" s="929"/>
    </row>
    <row r="18" spans="1:9">
      <c r="A18" s="929"/>
      <c r="B18" s="929"/>
      <c r="C18" s="929"/>
      <c r="D18" s="929"/>
      <c r="E18" s="929"/>
      <c r="F18" s="929"/>
      <c r="G18" s="929"/>
      <c r="H18" s="929"/>
      <c r="I18" s="929"/>
    </row>
    <row r="19" spans="1:9">
      <c r="A19" s="929"/>
      <c r="B19" s="929"/>
      <c r="C19" s="929"/>
      <c r="D19" s="929"/>
      <c r="E19" s="929"/>
      <c r="F19" s="929"/>
      <c r="G19" s="929"/>
      <c r="H19" s="929"/>
      <c r="I19" s="929"/>
    </row>
    <row r="20" spans="1:9" ht="15.6" customHeight="1"/>
  </sheetData>
  <mergeCells count="5">
    <mergeCell ref="A15:I19"/>
    <mergeCell ref="A1:I1"/>
    <mergeCell ref="A3:I3"/>
    <mergeCell ref="A5:I5"/>
    <mergeCell ref="A7:I13"/>
  </mergeCells>
  <printOptions horizontalCentered="1"/>
  <pageMargins left="0.9" right="0.7" top="0.75" bottom="0.5" header="0" footer="0.25"/>
  <pageSetup scale="94" orientation="portrait"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L54"/>
  <sheetViews>
    <sheetView zoomScaleNormal="100" workbookViewId="0">
      <selection sqref="A1:G1"/>
    </sheetView>
  </sheetViews>
  <sheetFormatPr defaultColWidth="8" defaultRowHeight="15.75"/>
  <cols>
    <col min="1" max="1" width="5.88671875" style="368" customWidth="1"/>
    <col min="2" max="2" width="38.21875" style="363" customWidth="1"/>
    <col min="3" max="3" width="18.44140625" style="363" customWidth="1"/>
    <col min="4" max="4" width="10.6640625" style="363" bestFit="1" customWidth="1"/>
    <col min="5" max="5" width="7.44140625" style="363" customWidth="1"/>
    <col min="6" max="6" width="3.6640625" style="363" customWidth="1"/>
    <col min="7" max="7" width="2.109375" style="363" customWidth="1"/>
    <col min="8" max="8" width="9.6640625" style="362" customWidth="1"/>
    <col min="9" max="9" width="8" style="363"/>
    <col min="10" max="10" width="9" style="363" bestFit="1" customWidth="1"/>
    <col min="11" max="16384" width="8" style="363"/>
  </cols>
  <sheetData>
    <row r="1" spans="1:7" ht="16.5" customHeight="1">
      <c r="A1" s="935" t="str">
        <f>+Assumptions!A1</f>
        <v>Consolidated Disposal Services, Inc.</v>
      </c>
      <c r="B1" s="936"/>
      <c r="C1" s="936"/>
      <c r="D1" s="936"/>
      <c r="E1" s="936"/>
      <c r="F1" s="936"/>
      <c r="G1" s="936"/>
    </row>
    <row r="2" spans="1:7" ht="13.5" customHeight="1">
      <c r="A2" s="936"/>
      <c r="B2" s="936"/>
      <c r="C2" s="936"/>
      <c r="D2" s="936"/>
      <c r="E2" s="936"/>
      <c r="F2" s="936"/>
      <c r="G2" s="936"/>
    </row>
    <row r="3" spans="1:7" ht="16.5">
      <c r="A3" s="936" t="s">
        <v>97</v>
      </c>
      <c r="B3" s="936"/>
      <c r="C3" s="936"/>
      <c r="D3" s="936"/>
      <c r="E3" s="936"/>
      <c r="F3" s="936"/>
      <c r="G3" s="936"/>
    </row>
    <row r="4" spans="1:7" ht="15.75" customHeight="1">
      <c r="A4" s="361"/>
      <c r="B4" s="361"/>
      <c r="C4" s="361"/>
      <c r="D4" s="361"/>
      <c r="E4" s="361"/>
      <c r="F4" s="361"/>
      <c r="G4" s="361"/>
    </row>
    <row r="5" spans="1:7" ht="15.75" customHeight="1">
      <c r="A5" s="937" t="str">
        <f>'Fly Sheet'!$A$20</f>
        <v>For the Twelve Months Ended December 31, 2023 Historical and March 31, 2026 Forecasted</v>
      </c>
      <c r="B5" s="938"/>
      <c r="C5" s="938"/>
      <c r="D5" s="938"/>
      <c r="E5" s="938"/>
      <c r="F5" s="938"/>
      <c r="G5" s="938"/>
    </row>
    <row r="6" spans="1:7" ht="15.75" customHeight="1">
      <c r="A6" s="937"/>
      <c r="B6" s="938"/>
      <c r="C6" s="938"/>
      <c r="D6" s="938"/>
      <c r="E6" s="938"/>
      <c r="F6" s="938"/>
      <c r="G6" s="938"/>
    </row>
    <row r="7" spans="1:7" ht="15.75" customHeight="1">
      <c r="A7" s="364" t="s">
        <v>25</v>
      </c>
      <c r="B7" s="365"/>
      <c r="C7" s="365"/>
      <c r="D7" s="365"/>
      <c r="E7" s="365"/>
      <c r="F7" s="365"/>
      <c r="G7" s="365"/>
    </row>
    <row r="8" spans="1:7" ht="36" customHeight="1">
      <c r="A8" s="366" t="s">
        <v>43</v>
      </c>
      <c r="B8" s="933" t="s">
        <v>864</v>
      </c>
      <c r="C8" s="934"/>
      <c r="D8" s="934"/>
      <c r="E8" s="934"/>
      <c r="F8" s="934"/>
      <c r="G8" s="934"/>
    </row>
    <row r="9" spans="1:7" ht="34.35" customHeight="1">
      <c r="A9" s="366" t="s">
        <v>44</v>
      </c>
      <c r="B9" s="933" t="s">
        <v>954</v>
      </c>
      <c r="C9" s="934"/>
      <c r="D9" s="934"/>
      <c r="E9" s="934"/>
      <c r="F9" s="934"/>
      <c r="G9" s="934"/>
    </row>
    <row r="10" spans="1:7">
      <c r="A10" s="366"/>
      <c r="B10" s="933"/>
      <c r="C10" s="934"/>
      <c r="D10" s="934"/>
      <c r="E10" s="934"/>
      <c r="F10" s="934"/>
      <c r="G10" s="934"/>
    </row>
    <row r="11" spans="1:7" ht="15.75" customHeight="1">
      <c r="A11" s="366" t="s">
        <v>45</v>
      </c>
      <c r="B11" s="380" t="s">
        <v>1343</v>
      </c>
      <c r="C11" s="381">
        <v>-54274</v>
      </c>
      <c r="D11" s="381"/>
    </row>
    <row r="12" spans="1:7">
      <c r="B12" s="369" t="s">
        <v>1341</v>
      </c>
      <c r="C12" s="899">
        <v>12</v>
      </c>
    </row>
    <row r="13" spans="1:7">
      <c r="A13" s="372"/>
      <c r="B13" s="369" t="s">
        <v>1342</v>
      </c>
      <c r="C13" s="373">
        <f>+C11/C12</f>
        <v>-4522.833333333333</v>
      </c>
    </row>
    <row r="14" spans="1:7">
      <c r="A14" s="372"/>
      <c r="B14" s="369"/>
      <c r="C14" s="373"/>
    </row>
    <row r="15" spans="1:7">
      <c r="A15" s="372"/>
      <c r="B15" s="369"/>
      <c r="C15" s="373"/>
    </row>
    <row r="16" spans="1:7" ht="19.350000000000001" customHeight="1">
      <c r="A16" s="366" t="s">
        <v>46</v>
      </c>
      <c r="B16" s="939" t="s">
        <v>760</v>
      </c>
      <c r="C16" s="939"/>
      <c r="D16" s="504"/>
      <c r="E16" s="504"/>
      <c r="F16" s="504"/>
      <c r="G16" s="504"/>
    </row>
    <row r="17" spans="1:10" ht="19.350000000000001" customHeight="1">
      <c r="A17" s="366" t="s">
        <v>47</v>
      </c>
      <c r="B17" s="931" t="s">
        <v>929</v>
      </c>
      <c r="C17" s="932"/>
      <c r="D17" s="932"/>
      <c r="E17" s="932"/>
      <c r="F17" s="932"/>
      <c r="G17" s="932"/>
    </row>
    <row r="18" spans="1:10" ht="19.350000000000001" customHeight="1">
      <c r="A18" s="366"/>
      <c r="B18" s="883"/>
      <c r="C18"/>
      <c r="D18" t="s">
        <v>850</v>
      </c>
      <c r="E18" t="s">
        <v>1300</v>
      </c>
      <c r="F18"/>
      <c r="G18"/>
    </row>
    <row r="19" spans="1:10" ht="19.350000000000001" customHeight="1">
      <c r="A19" s="366"/>
      <c r="B19" s="883" t="s">
        <v>1307</v>
      </c>
      <c r="C19"/>
      <c r="D19">
        <f>-6341.39</f>
        <v>-6341.39</v>
      </c>
      <c r="E19">
        <f>+D19*'WP-2 - Labor Analysis'!$AD$79</f>
        <v>-3719.340540393061</v>
      </c>
      <c r="F19"/>
      <c r="G19"/>
    </row>
    <row r="20" spans="1:10" ht="19.350000000000001" customHeight="1">
      <c r="A20" s="366"/>
      <c r="B20" s="883" t="s">
        <v>1308</v>
      </c>
      <c r="C20"/>
      <c r="D20">
        <v>-2595</v>
      </c>
      <c r="E20">
        <f>+D20*'WP-2 - Labor Analysis'!$AD$79</f>
        <v>-1522.0146848435427</v>
      </c>
      <c r="F20"/>
      <c r="G20"/>
    </row>
    <row r="21" spans="1:10" ht="19.350000000000001" customHeight="1">
      <c r="A21" s="366"/>
      <c r="B21" s="883" t="s">
        <v>1320</v>
      </c>
      <c r="C21"/>
      <c r="D21">
        <f>+'WP-2, pg 3 - Benefits Analysis'!B94</f>
        <v>-377.77000000004409</v>
      </c>
      <c r="E21">
        <f>+D21*'WP-2 - Labor Analysis'!$AD$79</f>
        <v>-221.56897398590067</v>
      </c>
      <c r="F21"/>
      <c r="G21"/>
    </row>
    <row r="22" spans="1:10" ht="19.350000000000001" customHeight="1">
      <c r="A22" s="366" t="s">
        <v>48</v>
      </c>
      <c r="B22" s="366" t="s">
        <v>1258</v>
      </c>
      <c r="C22"/>
      <c r="D22" s="436"/>
      <c r="E22" s="436"/>
      <c r="F22"/>
      <c r="G22"/>
    </row>
    <row r="23" spans="1:10">
      <c r="A23" s="366"/>
      <c r="C23" s="614" t="s">
        <v>1259</v>
      </c>
      <c r="D23" s="890">
        <v>35750</v>
      </c>
      <c r="E23" s="436"/>
      <c r="F23"/>
      <c r="G23"/>
    </row>
    <row r="24" spans="1:10">
      <c r="A24" s="364"/>
      <c r="D24" s="891">
        <v>0.8</v>
      </c>
    </row>
    <row r="25" spans="1:10">
      <c r="A25" s="366"/>
      <c r="B25" s="364"/>
      <c r="D25" s="892">
        <f>+D23*D24</f>
        <v>28600</v>
      </c>
      <c r="E25" s="367"/>
      <c r="F25" s="367"/>
    </row>
    <row r="26" spans="1:10">
      <c r="A26" s="366" t="s">
        <v>49</v>
      </c>
      <c r="B26" s="369" t="s">
        <v>1293</v>
      </c>
      <c r="C26" s="370"/>
      <c r="D26" s="369"/>
      <c r="J26" s="369"/>
    </row>
    <row r="27" spans="1:10">
      <c r="A27" s="366"/>
      <c r="B27" s="369"/>
      <c r="C27" s="373" t="s">
        <v>850</v>
      </c>
      <c r="D27" s="369" t="s">
        <v>1300</v>
      </c>
      <c r="J27" s="369"/>
    </row>
    <row r="28" spans="1:10">
      <c r="B28" s="369" t="s">
        <v>1294</v>
      </c>
      <c r="C28" s="370">
        <f>'WP-2, pg 3 - Benefits Analysis'!C92</f>
        <v>-488.49999999999272</v>
      </c>
      <c r="D28">
        <f>+C28*'WP-2 - Labor Analysis'!$AD$79</f>
        <v>-286.51413238769152</v>
      </c>
      <c r="J28" s="369"/>
    </row>
    <row r="29" spans="1:10">
      <c r="B29" s="369" t="s">
        <v>1295</v>
      </c>
      <c r="C29" s="370">
        <f>+'WP-2, pg 3 - Benefits Analysis'!B92</f>
        <v>24993.41</v>
      </c>
      <c r="D29">
        <f>+C29*'WP-2 - Labor Analysis'!$AD$79</f>
        <v>14659.089419774738</v>
      </c>
      <c r="E29" s="369"/>
      <c r="J29" s="369"/>
    </row>
    <row r="30" spans="1:10">
      <c r="B30" s="369" t="s">
        <v>805</v>
      </c>
      <c r="C30" s="371">
        <f>'WP-2, pg 3 - Benefits Analysis'!F94</f>
        <v>-6068.4499999999971</v>
      </c>
      <c r="D30">
        <f>+C30*'WP-2 - Labor Analysis'!$AD$79</f>
        <v>-3559.2562675293998</v>
      </c>
      <c r="J30" s="369"/>
    </row>
    <row r="31" spans="1:10">
      <c r="B31" s="369" t="s">
        <v>1304</v>
      </c>
      <c r="C31" s="373">
        <v>-350.96</v>
      </c>
      <c r="D31">
        <f>+C31*'WP-2 - Labor Analysis'!$AD$79</f>
        <v>-205.84442150007311</v>
      </c>
      <c r="J31" s="364"/>
    </row>
    <row r="32" spans="1:10">
      <c r="J32" s="364"/>
    </row>
    <row r="33" spans="1:12">
      <c r="A33" s="366" t="s">
        <v>217</v>
      </c>
      <c r="B33" s="369" t="s">
        <v>1312</v>
      </c>
      <c r="C33" s="373"/>
      <c r="J33" s="364"/>
    </row>
    <row r="34" spans="1:12">
      <c r="B34" s="369" t="s">
        <v>1299</v>
      </c>
      <c r="C34" s="373">
        <f>+'WP-2, pg 3 - Benefits Analysis'!G92</f>
        <v>-9341.0199999999968</v>
      </c>
      <c r="D34">
        <f>+C34*'WP-2 - Labor Analysis'!$AD$79</f>
        <v>-5478.6780776174273</v>
      </c>
      <c r="J34" s="364"/>
    </row>
    <row r="35" spans="1:12">
      <c r="B35" s="369" t="s">
        <v>1313</v>
      </c>
      <c r="C35" s="373">
        <v>-5921.12</v>
      </c>
      <c r="D35">
        <f>+C35*'WP-2 - Labor Analysis'!$AD$79</f>
        <v>-3472.844543630365</v>
      </c>
      <c r="J35" s="364"/>
    </row>
    <row r="36" spans="1:12">
      <c r="B36" s="369"/>
      <c r="C36" s="373"/>
      <c r="E36" s="374"/>
      <c r="F36" s="375"/>
    </row>
    <row r="37" spans="1:12">
      <c r="A37" s="366" t="s">
        <v>218</v>
      </c>
      <c r="B37" s="369" t="s">
        <v>1332</v>
      </c>
      <c r="C37" s="373"/>
      <c r="E37" s="374"/>
      <c r="F37" s="375"/>
    </row>
    <row r="38" spans="1:12">
      <c r="A38" s="372"/>
      <c r="B38" s="369" t="s">
        <v>1333</v>
      </c>
      <c r="C38" s="373">
        <f>+Operations!E12</f>
        <v>3499894.1999999993</v>
      </c>
      <c r="D38" s="892">
        <f>+C38*K45</f>
        <v>145509.82450765869</v>
      </c>
      <c r="I38" s="363">
        <v>2</v>
      </c>
      <c r="J38" s="363">
        <v>3</v>
      </c>
      <c r="K38" s="363">
        <f>+I38*J38</f>
        <v>6</v>
      </c>
    </row>
    <row r="39" spans="1:12">
      <c r="B39" s="369" t="s">
        <v>1334</v>
      </c>
      <c r="C39" s="376">
        <f>+Operations!E14</f>
        <v>2373984.9299999997</v>
      </c>
      <c r="D39" s="378">
        <f>+C39*K45</f>
        <v>98699.592275711198</v>
      </c>
      <c r="E39" s="377"/>
      <c r="I39" s="363">
        <v>2.38</v>
      </c>
      <c r="J39" s="363">
        <v>9</v>
      </c>
      <c r="K39" s="363">
        <f>+I39*J39</f>
        <v>21.419999999999998</v>
      </c>
    </row>
    <row r="40" spans="1:12">
      <c r="B40" s="369" t="s">
        <v>1335</v>
      </c>
      <c r="C40" s="378">
        <f>+Operations!E16</f>
        <v>1070714.76</v>
      </c>
      <c r="D40" s="371">
        <f>+C40*K45</f>
        <v>44515.493304157579</v>
      </c>
      <c r="E40" s="377"/>
      <c r="K40" s="363">
        <f>+K38+K39</f>
        <v>27.419999999999998</v>
      </c>
    </row>
    <row r="41" spans="1:12">
      <c r="B41" s="369"/>
      <c r="C41" s="378"/>
      <c r="D41" s="379"/>
      <c r="E41" s="377"/>
    </row>
    <row r="42" spans="1:12">
      <c r="B42" s="369"/>
      <c r="C42" s="373"/>
      <c r="I42" s="363">
        <v>2.38</v>
      </c>
      <c r="J42" s="363">
        <v>12</v>
      </c>
      <c r="K42" s="363">
        <f>+I42*J42</f>
        <v>28.56</v>
      </c>
    </row>
    <row r="43" spans="1:12">
      <c r="A43" s="372"/>
      <c r="B43" s="364"/>
      <c r="K43" s="363">
        <f>+K42-K40</f>
        <v>1.1400000000000006</v>
      </c>
    </row>
    <row r="44" spans="1:12">
      <c r="B44" s="369"/>
      <c r="C44" s="373"/>
      <c r="D44" s="376"/>
    </row>
    <row r="45" spans="1:12">
      <c r="B45" s="369"/>
      <c r="C45" s="373"/>
      <c r="D45" s="377"/>
      <c r="K45" s="363">
        <f>+K43/K40</f>
        <v>4.1575492341356698E-2</v>
      </c>
      <c r="L45" s="369" t="s">
        <v>1336</v>
      </c>
    </row>
    <row r="46" spans="1:12">
      <c r="B46" s="369"/>
      <c r="C46" s="373"/>
      <c r="D46" s="379"/>
      <c r="E46" s="382"/>
    </row>
    <row r="47" spans="1:12">
      <c r="B47" s="369"/>
      <c r="C47" s="373"/>
    </row>
    <row r="48" spans="1:12">
      <c r="A48" s="379"/>
      <c r="B48" s="369"/>
      <c r="C48" s="373"/>
    </row>
    <row r="49" spans="2:6">
      <c r="C49" s="373"/>
    </row>
    <row r="50" spans="2:6">
      <c r="B50" s="369"/>
    </row>
    <row r="51" spans="2:6">
      <c r="B51" s="369"/>
      <c r="C51" s="370"/>
      <c r="F51" s="383"/>
    </row>
    <row r="52" spans="2:6">
      <c r="B52" s="369"/>
      <c r="C52" s="370"/>
    </row>
    <row r="54" spans="2:6">
      <c r="B54" s="369"/>
      <c r="C54" s="370"/>
    </row>
  </sheetData>
  <mergeCells count="10">
    <mergeCell ref="B17:G17"/>
    <mergeCell ref="B9:G9"/>
    <mergeCell ref="B10:G10"/>
    <mergeCell ref="B8:G8"/>
    <mergeCell ref="A1:G1"/>
    <mergeCell ref="A2:G2"/>
    <mergeCell ref="A3:G3"/>
    <mergeCell ref="A5:G5"/>
    <mergeCell ref="A6:G6"/>
    <mergeCell ref="B16:C16"/>
  </mergeCells>
  <phoneticPr fontId="14" type="noConversion"/>
  <printOptions horizontalCentered="1"/>
  <pageMargins left="0.9" right="0.7" top="0.75" bottom="0.5" header="0" footer="0.25"/>
  <pageSetup scale="84" orientation="portrait" horizontalDpi="300" verticalDpi="300" r:id="rId1"/>
  <headerFooter scaleWithDoc="0" alignWithMargins="0">
    <oddFooter xml:space="preserve">&amp;C&amp;"Times New Roman,Regular"&amp;10See accompanying summary of significant forecast assumptions. </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W85"/>
  <sheetViews>
    <sheetView zoomScale="85" zoomScaleNormal="85" workbookViewId="0">
      <selection sqref="A1:T1"/>
    </sheetView>
  </sheetViews>
  <sheetFormatPr defaultColWidth="8" defaultRowHeight="15.75"/>
  <cols>
    <col min="1" max="1" width="30.6640625" style="387" customWidth="1"/>
    <col min="2" max="2" width="10.88671875" style="387" customWidth="1"/>
    <col min="3" max="3" width="1.5546875" style="387" customWidth="1"/>
    <col min="4" max="4" width="10.88671875" style="387" customWidth="1"/>
    <col min="5" max="5" width="1.5546875" style="387" customWidth="1"/>
    <col min="6" max="6" width="10.88671875" style="387" customWidth="1"/>
    <col min="7" max="7" width="1.5546875" style="387" customWidth="1"/>
    <col min="8" max="8" width="10.88671875" style="387" customWidth="1"/>
    <col min="9" max="9" width="1.5546875" style="387" customWidth="1"/>
    <col min="10" max="10" width="15.6640625" style="387" customWidth="1"/>
    <col min="11" max="11" width="1.5546875" style="387" customWidth="1"/>
    <col min="12" max="12" width="10.88671875" style="387" customWidth="1"/>
    <col min="13" max="13" width="1.5546875" style="387" customWidth="1"/>
    <col min="14" max="14" width="10.88671875" style="387" customWidth="1"/>
    <col min="15" max="15" width="1.5546875" style="387" customWidth="1"/>
    <col min="16" max="16" width="10.88671875" style="387" customWidth="1"/>
    <col min="17" max="17" width="1.5546875" style="387" customWidth="1"/>
    <col min="18" max="18" width="15.6640625" style="387" bestFit="1" customWidth="1"/>
    <col min="19" max="19" width="1.5546875" style="387" customWidth="1"/>
    <col min="20" max="20" width="10.88671875" style="387" customWidth="1"/>
    <col min="21" max="21" width="1.44140625" style="385" customWidth="1"/>
    <col min="22" max="22" width="4.88671875" style="385" customWidth="1"/>
    <col min="23" max="16384" width="8" style="385"/>
  </cols>
  <sheetData>
    <row r="1" spans="1:23">
      <c r="A1" s="940" t="str">
        <f>+Operations!B1</f>
        <v>Consolidated Disposal Services, Inc.</v>
      </c>
      <c r="B1" s="940"/>
      <c r="C1" s="940"/>
      <c r="D1" s="940"/>
      <c r="E1" s="940"/>
      <c r="F1" s="940"/>
      <c r="G1" s="940"/>
      <c r="H1" s="940"/>
      <c r="I1" s="940"/>
      <c r="J1" s="940"/>
      <c r="K1" s="940"/>
      <c r="L1" s="940"/>
      <c r="M1" s="940"/>
      <c r="N1" s="940"/>
      <c r="O1" s="940"/>
      <c r="P1" s="940"/>
      <c r="Q1" s="940"/>
      <c r="R1" s="940"/>
      <c r="S1" s="940"/>
      <c r="T1" s="940"/>
    </row>
    <row r="2" spans="1:23" ht="13.5" customHeight="1">
      <c r="A2" s="386"/>
      <c r="V2" s="388" t="s">
        <v>189</v>
      </c>
      <c r="W2" s="389" t="s">
        <v>219</v>
      </c>
    </row>
    <row r="3" spans="1:23">
      <c r="A3" s="940" t="s">
        <v>108</v>
      </c>
      <c r="B3" s="940"/>
      <c r="C3" s="940"/>
      <c r="D3" s="940"/>
      <c r="E3" s="940"/>
      <c r="F3" s="940"/>
      <c r="G3" s="940"/>
      <c r="H3" s="940"/>
      <c r="I3" s="940"/>
      <c r="J3" s="940"/>
      <c r="K3" s="940"/>
      <c r="L3" s="940"/>
      <c r="M3" s="940"/>
      <c r="N3" s="940"/>
      <c r="O3" s="940"/>
      <c r="P3" s="940"/>
      <c r="Q3" s="940"/>
      <c r="R3" s="940"/>
      <c r="S3" s="940"/>
      <c r="T3" s="940"/>
      <c r="V3" s="388" t="s">
        <v>190</v>
      </c>
      <c r="W3" s="389" t="s">
        <v>194</v>
      </c>
    </row>
    <row r="4" spans="1:23">
      <c r="A4" s="384"/>
      <c r="B4" s="384"/>
      <c r="C4" s="384"/>
      <c r="D4" s="384"/>
      <c r="E4" s="384"/>
      <c r="F4" s="384"/>
      <c r="G4" s="384"/>
      <c r="H4" s="384"/>
      <c r="I4" s="384"/>
      <c r="J4" s="384"/>
      <c r="K4" s="384"/>
      <c r="L4" s="384"/>
      <c r="M4" s="384"/>
      <c r="N4" s="384"/>
      <c r="O4" s="384"/>
      <c r="P4" s="384"/>
      <c r="Q4" s="384"/>
      <c r="R4" s="384"/>
      <c r="S4" s="384"/>
      <c r="T4" s="384"/>
      <c r="V4" s="388" t="s">
        <v>191</v>
      </c>
      <c r="W4" s="389" t="s">
        <v>220</v>
      </c>
    </row>
    <row r="5" spans="1:23">
      <c r="A5" s="940" t="str">
        <f>'Fly Sheet'!$A$20</f>
        <v>For the Twelve Months Ended December 31, 2023 Historical and March 31, 2026 Forecasted</v>
      </c>
      <c r="B5" s="940"/>
      <c r="C5" s="940"/>
      <c r="D5" s="940"/>
      <c r="E5" s="940"/>
      <c r="F5" s="940"/>
      <c r="G5" s="940"/>
      <c r="H5" s="940"/>
      <c r="I5" s="940"/>
      <c r="J5" s="940"/>
      <c r="K5" s="940"/>
      <c r="L5" s="940"/>
      <c r="M5" s="940"/>
      <c r="N5" s="940"/>
      <c r="O5" s="940"/>
      <c r="P5" s="940"/>
      <c r="Q5" s="940"/>
      <c r="R5" s="940"/>
      <c r="S5" s="940"/>
      <c r="T5" s="940"/>
      <c r="V5" s="388" t="s">
        <v>192</v>
      </c>
      <c r="W5" s="389" t="s">
        <v>193</v>
      </c>
    </row>
    <row r="6" spans="1:23">
      <c r="A6" s="940"/>
      <c r="B6" s="940"/>
      <c r="C6" s="940"/>
      <c r="D6" s="940"/>
      <c r="E6" s="940"/>
      <c r="F6" s="940"/>
      <c r="G6" s="940"/>
      <c r="H6" s="940"/>
      <c r="I6" s="940"/>
      <c r="J6" s="940"/>
      <c r="K6" s="940"/>
      <c r="L6" s="940"/>
      <c r="M6" s="940"/>
      <c r="N6" s="940"/>
      <c r="O6" s="940"/>
      <c r="P6" s="940"/>
      <c r="Q6" s="940"/>
      <c r="R6" s="940"/>
      <c r="S6" s="940"/>
      <c r="T6" s="940"/>
    </row>
    <row r="7" spans="1:23">
      <c r="A7" s="384"/>
      <c r="B7" s="384"/>
      <c r="C7" s="384"/>
      <c r="D7" s="384"/>
      <c r="E7" s="384"/>
      <c r="F7" s="384"/>
      <c r="G7" s="384"/>
      <c r="H7" s="384"/>
      <c r="I7" s="384"/>
      <c r="J7" s="384"/>
      <c r="K7" s="384"/>
      <c r="L7" s="384"/>
      <c r="M7" s="384"/>
      <c r="N7" s="384"/>
      <c r="O7" s="384"/>
      <c r="P7" s="384"/>
      <c r="Q7" s="384"/>
      <c r="R7" s="384"/>
      <c r="S7" s="384"/>
      <c r="T7" s="384"/>
    </row>
    <row r="8" spans="1:23" ht="12.95" customHeight="1">
      <c r="A8" s="390"/>
      <c r="B8" s="391" t="s">
        <v>43</v>
      </c>
      <c r="C8" s="391"/>
      <c r="D8" s="391" t="s">
        <v>44</v>
      </c>
      <c r="E8" s="391"/>
      <c r="F8" s="391" t="s">
        <v>45</v>
      </c>
      <c r="G8" s="391"/>
      <c r="H8" s="391" t="s">
        <v>46</v>
      </c>
      <c r="I8" s="391"/>
      <c r="J8" s="391" t="s">
        <v>47</v>
      </c>
      <c r="K8" s="391"/>
      <c r="L8" s="391" t="s">
        <v>48</v>
      </c>
      <c r="M8" s="391"/>
      <c r="N8" s="391" t="s">
        <v>49</v>
      </c>
      <c r="O8" s="391"/>
      <c r="P8" s="391" t="s">
        <v>217</v>
      </c>
      <c r="Q8" s="391"/>
      <c r="R8" s="391" t="s">
        <v>218</v>
      </c>
      <c r="S8" s="391"/>
      <c r="T8" s="392"/>
    </row>
    <row r="9" spans="1:23" ht="12.95" customHeight="1">
      <c r="A9" s="390"/>
      <c r="B9" s="391" t="s">
        <v>17</v>
      </c>
      <c r="C9" s="391"/>
      <c r="D9" s="391" t="s">
        <v>752</v>
      </c>
      <c r="E9" s="392"/>
      <c r="F9" s="391" t="s">
        <v>752</v>
      </c>
      <c r="G9" s="391"/>
      <c r="H9" s="391" t="s">
        <v>752</v>
      </c>
      <c r="I9" s="391"/>
      <c r="J9" s="391" t="s">
        <v>1</v>
      </c>
      <c r="K9" s="392"/>
      <c r="L9" s="391" t="s">
        <v>752</v>
      </c>
      <c r="M9" s="391"/>
      <c r="N9" s="391" t="s">
        <v>946</v>
      </c>
      <c r="O9" s="391"/>
      <c r="P9" s="391" t="s">
        <v>946</v>
      </c>
      <c r="Q9" s="391"/>
      <c r="R9" s="391" t="s">
        <v>1337</v>
      </c>
      <c r="S9" s="391"/>
      <c r="T9" s="391" t="s">
        <v>0</v>
      </c>
    </row>
    <row r="10" spans="1:23" ht="12.95" customHeight="1">
      <c r="A10" s="390"/>
      <c r="B10" s="391" t="s">
        <v>20</v>
      </c>
      <c r="C10" s="391"/>
      <c r="D10" s="391" t="s">
        <v>382</v>
      </c>
      <c r="E10" s="391"/>
      <c r="F10" s="391" t="s">
        <v>1344</v>
      </c>
      <c r="G10" s="391"/>
      <c r="H10" s="391" t="s">
        <v>753</v>
      </c>
      <c r="I10" s="391"/>
      <c r="J10" s="391" t="s">
        <v>946</v>
      </c>
      <c r="K10" s="391"/>
      <c r="L10" s="391" t="s">
        <v>1260</v>
      </c>
      <c r="M10" s="391"/>
      <c r="N10" s="391" t="s">
        <v>1310</v>
      </c>
      <c r="O10" s="391"/>
      <c r="P10" s="391" t="s">
        <v>1314</v>
      </c>
      <c r="Q10" s="391"/>
      <c r="R10" s="391" t="s">
        <v>1338</v>
      </c>
      <c r="S10" s="391"/>
      <c r="T10" s="391" t="s">
        <v>21</v>
      </c>
    </row>
    <row r="11" spans="1:23" ht="12.95" customHeight="1">
      <c r="A11" s="390"/>
      <c r="B11" s="393" t="s">
        <v>24</v>
      </c>
      <c r="C11" s="391"/>
      <c r="D11" s="393" t="s">
        <v>28</v>
      </c>
      <c r="E11" s="391"/>
      <c r="F11" s="393" t="s">
        <v>183</v>
      </c>
      <c r="G11" s="391"/>
      <c r="H11" s="393" t="s">
        <v>9</v>
      </c>
      <c r="I11" s="391"/>
      <c r="J11" s="393" t="s">
        <v>945</v>
      </c>
      <c r="K11" s="391"/>
      <c r="L11" s="393" t="s">
        <v>1261</v>
      </c>
      <c r="M11" s="391"/>
      <c r="N11" s="393" t="s">
        <v>1311</v>
      </c>
      <c r="O11" s="393"/>
      <c r="P11" s="393"/>
      <c r="Q11" s="393"/>
      <c r="R11" s="393"/>
      <c r="S11" s="393"/>
      <c r="T11" s="393" t="s">
        <v>25</v>
      </c>
    </row>
    <row r="12" spans="1:23" ht="15" customHeight="1">
      <c r="A12" s="454" t="str">
        <f>+Operations!B11</f>
        <v>REVENUES</v>
      </c>
      <c r="B12" s="390"/>
      <c r="C12" s="390"/>
      <c r="D12" s="390"/>
      <c r="E12" s="390"/>
      <c r="F12" s="390"/>
      <c r="G12" s="390"/>
      <c r="H12" s="390"/>
      <c r="I12" s="390"/>
      <c r="J12" s="390"/>
      <c r="K12" s="390"/>
      <c r="L12" s="390"/>
      <c r="M12" s="390"/>
      <c r="N12" s="390"/>
      <c r="O12" s="390"/>
      <c r="P12" s="390"/>
      <c r="Q12" s="390"/>
      <c r="R12" s="390"/>
      <c r="S12" s="390"/>
      <c r="T12" s="390"/>
    </row>
    <row r="13" spans="1:23" ht="15" customHeight="1">
      <c r="A13" s="9" t="s">
        <v>732</v>
      </c>
      <c r="B13" s="394">
        <v>0</v>
      </c>
      <c r="C13" s="395"/>
      <c r="D13" s="394">
        <v>0</v>
      </c>
      <c r="E13" s="395"/>
      <c r="F13" s="394">
        <f>+'Sch 1 - Restated Exp'!C13</f>
        <v>-4522.833333333333</v>
      </c>
      <c r="G13" s="395"/>
      <c r="H13" s="394">
        <v>0</v>
      </c>
      <c r="I13" s="395"/>
      <c r="J13" s="394">
        <v>0</v>
      </c>
      <c r="K13" s="395"/>
      <c r="L13" s="394">
        <v>0</v>
      </c>
      <c r="M13" s="395"/>
      <c r="N13" s="394">
        <v>0</v>
      </c>
      <c r="O13" s="395"/>
      <c r="P13" s="394">
        <v>0</v>
      </c>
      <c r="Q13" s="395"/>
      <c r="R13" s="394">
        <f>+'Sch 1 - Restated Exp'!D38</f>
        <v>145509.82450765869</v>
      </c>
      <c r="S13" s="395"/>
      <c r="T13" s="394">
        <f>SUM(B13:R13)</f>
        <v>140986.99117432535</v>
      </c>
    </row>
    <row r="14" spans="1:23" ht="15" customHeight="1">
      <c r="A14" s="9" t="s">
        <v>733</v>
      </c>
      <c r="B14" s="395">
        <v>0</v>
      </c>
      <c r="C14" s="395"/>
      <c r="D14" s="395">
        <v>0</v>
      </c>
      <c r="E14" s="395"/>
      <c r="F14" s="395">
        <v>0</v>
      </c>
      <c r="G14" s="395"/>
      <c r="H14" s="395">
        <v>0</v>
      </c>
      <c r="I14" s="395"/>
      <c r="J14" s="395">
        <v>0</v>
      </c>
      <c r="K14" s="395"/>
      <c r="L14" s="395">
        <v>0</v>
      </c>
      <c r="M14" s="395"/>
      <c r="N14" s="395">
        <v>0</v>
      </c>
      <c r="O14" s="395"/>
      <c r="P14" s="395">
        <v>0</v>
      </c>
      <c r="Q14" s="395"/>
      <c r="R14" s="395">
        <v>0</v>
      </c>
      <c r="S14" s="395"/>
      <c r="T14" s="395">
        <f>SUM(B14:R14)</f>
        <v>0</v>
      </c>
    </row>
    <row r="15" spans="1:23" ht="15" customHeight="1">
      <c r="A15" s="9" t="s">
        <v>734</v>
      </c>
      <c r="B15" s="395">
        <v>0</v>
      </c>
      <c r="C15" s="395"/>
      <c r="D15" s="395">
        <v>0</v>
      </c>
      <c r="E15" s="395"/>
      <c r="F15" s="395">
        <v>0</v>
      </c>
      <c r="G15" s="395"/>
      <c r="H15" s="395">
        <v>0</v>
      </c>
      <c r="I15" s="395"/>
      <c r="J15" s="395">
        <v>0</v>
      </c>
      <c r="K15" s="395"/>
      <c r="L15" s="395">
        <v>0</v>
      </c>
      <c r="M15" s="395"/>
      <c r="N15" s="395">
        <v>0</v>
      </c>
      <c r="O15" s="395"/>
      <c r="P15" s="395">
        <v>0</v>
      </c>
      <c r="Q15" s="395"/>
      <c r="R15" s="395">
        <f>+'Sch 1 - Restated Exp'!D39</f>
        <v>98699.592275711198</v>
      </c>
      <c r="S15" s="395"/>
      <c r="T15" s="395">
        <f t="shared" ref="T15:T27" si="0">SUM(B15:R15)</f>
        <v>98699.592275711198</v>
      </c>
    </row>
    <row r="16" spans="1:23" ht="15" customHeight="1">
      <c r="A16" s="9" t="s">
        <v>735</v>
      </c>
      <c r="B16" s="395">
        <v>0</v>
      </c>
      <c r="C16" s="395"/>
      <c r="D16" s="395">
        <v>0</v>
      </c>
      <c r="E16" s="395"/>
      <c r="F16" s="395">
        <v>0</v>
      </c>
      <c r="G16" s="395"/>
      <c r="H16" s="395">
        <v>0</v>
      </c>
      <c r="I16" s="395"/>
      <c r="J16" s="395">
        <v>0</v>
      </c>
      <c r="K16" s="395"/>
      <c r="L16" s="395">
        <v>0</v>
      </c>
      <c r="M16" s="395"/>
      <c r="N16" s="395">
        <v>0</v>
      </c>
      <c r="O16" s="395"/>
      <c r="P16" s="395">
        <v>0</v>
      </c>
      <c r="Q16" s="395"/>
      <c r="R16" s="395">
        <v>0</v>
      </c>
      <c r="S16" s="395"/>
      <c r="T16" s="395">
        <f t="shared" si="0"/>
        <v>0</v>
      </c>
    </row>
    <row r="17" spans="1:20" ht="15" customHeight="1">
      <c r="A17" s="9" t="s">
        <v>736</v>
      </c>
      <c r="B17" s="395">
        <v>0</v>
      </c>
      <c r="C17" s="395"/>
      <c r="D17" s="395">
        <v>0</v>
      </c>
      <c r="E17" s="395"/>
      <c r="F17" s="395">
        <v>0</v>
      </c>
      <c r="G17" s="395"/>
      <c r="H17" s="395">
        <v>0</v>
      </c>
      <c r="I17" s="395"/>
      <c r="J17" s="395">
        <v>0</v>
      </c>
      <c r="K17" s="395"/>
      <c r="L17" s="395">
        <v>0</v>
      </c>
      <c r="M17" s="395"/>
      <c r="N17" s="395">
        <v>0</v>
      </c>
      <c r="O17" s="395"/>
      <c r="P17" s="395">
        <v>0</v>
      </c>
      <c r="Q17" s="395"/>
      <c r="R17" s="395">
        <f>+'Sch 1 - Restated Exp'!D40</f>
        <v>44515.493304157579</v>
      </c>
      <c r="S17" s="395"/>
      <c r="T17" s="395">
        <f>SUM(B17:R17)</f>
        <v>44515.493304157579</v>
      </c>
    </row>
    <row r="18" spans="1:20" ht="15" customHeight="1">
      <c r="A18" s="9" t="s">
        <v>737</v>
      </c>
      <c r="B18" s="395">
        <v>0</v>
      </c>
      <c r="C18" s="395"/>
      <c r="D18" s="395">
        <v>0</v>
      </c>
      <c r="E18" s="395"/>
      <c r="F18" s="395">
        <v>0</v>
      </c>
      <c r="G18" s="395"/>
      <c r="H18" s="395">
        <v>0</v>
      </c>
      <c r="I18" s="395"/>
      <c r="J18" s="395">
        <v>0</v>
      </c>
      <c r="K18" s="395"/>
      <c r="L18" s="395">
        <v>0</v>
      </c>
      <c r="M18" s="395"/>
      <c r="N18" s="395">
        <v>0</v>
      </c>
      <c r="O18" s="395"/>
      <c r="P18" s="395">
        <v>0</v>
      </c>
      <c r="Q18" s="395"/>
      <c r="R18" s="395">
        <v>0</v>
      </c>
      <c r="S18" s="395"/>
      <c r="T18" s="395">
        <f>SUM(B18:R18)</f>
        <v>0</v>
      </c>
    </row>
    <row r="19" spans="1:20" ht="15" customHeight="1">
      <c r="A19" s="9" t="s">
        <v>738</v>
      </c>
      <c r="B19" s="395">
        <v>0</v>
      </c>
      <c r="C19" s="395"/>
      <c r="D19" s="395">
        <v>0</v>
      </c>
      <c r="E19" s="395"/>
      <c r="F19" s="395">
        <v>0</v>
      </c>
      <c r="G19" s="395"/>
      <c r="H19" s="395">
        <v>0</v>
      </c>
      <c r="I19" s="395"/>
      <c r="J19" s="395">
        <v>0</v>
      </c>
      <c r="K19" s="395"/>
      <c r="L19" s="395">
        <v>0</v>
      </c>
      <c r="M19" s="395"/>
      <c r="N19" s="395">
        <v>0</v>
      </c>
      <c r="O19" s="395"/>
      <c r="P19" s="395">
        <v>0</v>
      </c>
      <c r="Q19" s="395"/>
      <c r="R19" s="395">
        <v>0</v>
      </c>
      <c r="S19" s="395"/>
      <c r="T19" s="395">
        <f t="shared" ref="T19:T26" si="1">SUM(B19:R19)</f>
        <v>0</v>
      </c>
    </row>
    <row r="20" spans="1:20" ht="15" customHeight="1">
      <c r="A20" s="9" t="s">
        <v>739</v>
      </c>
      <c r="B20" s="395">
        <v>0</v>
      </c>
      <c r="C20" s="395"/>
      <c r="D20" s="395">
        <v>0</v>
      </c>
      <c r="E20" s="395"/>
      <c r="F20" s="395">
        <v>0</v>
      </c>
      <c r="G20" s="395"/>
      <c r="H20" s="395">
        <v>0</v>
      </c>
      <c r="I20" s="395"/>
      <c r="J20" s="395">
        <v>0</v>
      </c>
      <c r="K20" s="395"/>
      <c r="L20" s="395">
        <v>0</v>
      </c>
      <c r="M20" s="395"/>
      <c r="N20" s="395">
        <v>0</v>
      </c>
      <c r="O20" s="395"/>
      <c r="P20" s="395">
        <v>0</v>
      </c>
      <c r="Q20" s="395"/>
      <c r="R20" s="395">
        <v>0</v>
      </c>
      <c r="S20" s="395"/>
      <c r="T20" s="395">
        <f t="shared" si="1"/>
        <v>0</v>
      </c>
    </row>
    <row r="21" spans="1:20" ht="15" customHeight="1">
      <c r="A21" s="9" t="s">
        <v>740</v>
      </c>
      <c r="B21" s="395">
        <v>0</v>
      </c>
      <c r="C21" s="395"/>
      <c r="D21" s="395">
        <v>0</v>
      </c>
      <c r="E21" s="395"/>
      <c r="F21" s="395">
        <v>0</v>
      </c>
      <c r="G21" s="395"/>
      <c r="H21" s="395">
        <v>0</v>
      </c>
      <c r="I21" s="395"/>
      <c r="J21" s="395">
        <v>0</v>
      </c>
      <c r="K21" s="395"/>
      <c r="L21" s="395">
        <v>0</v>
      </c>
      <c r="M21" s="395"/>
      <c r="N21" s="395">
        <v>0</v>
      </c>
      <c r="O21" s="395"/>
      <c r="P21" s="395">
        <v>0</v>
      </c>
      <c r="Q21" s="395"/>
      <c r="R21" s="395">
        <v>0</v>
      </c>
      <c r="S21" s="395"/>
      <c r="T21" s="395">
        <f>SUM(B21:R21)</f>
        <v>0</v>
      </c>
    </row>
    <row r="22" spans="1:20" ht="15" customHeight="1">
      <c r="A22" s="9" t="s">
        <v>741</v>
      </c>
      <c r="B22" s="395">
        <v>0</v>
      </c>
      <c r="C22" s="395"/>
      <c r="D22" s="395">
        <v>0</v>
      </c>
      <c r="E22" s="395"/>
      <c r="F22" s="395">
        <v>0</v>
      </c>
      <c r="G22" s="395"/>
      <c r="H22" s="395">
        <v>0</v>
      </c>
      <c r="I22" s="395"/>
      <c r="J22" s="395">
        <v>0</v>
      </c>
      <c r="K22" s="395"/>
      <c r="L22" s="395">
        <v>0</v>
      </c>
      <c r="M22" s="395"/>
      <c r="N22" s="395">
        <v>0</v>
      </c>
      <c r="O22" s="395"/>
      <c r="P22" s="395">
        <v>0</v>
      </c>
      <c r="Q22" s="395"/>
      <c r="R22" s="395">
        <v>0</v>
      </c>
      <c r="S22" s="395"/>
      <c r="T22" s="395">
        <f t="shared" si="1"/>
        <v>0</v>
      </c>
    </row>
    <row r="23" spans="1:20" ht="15" customHeight="1">
      <c r="A23" s="9" t="s">
        <v>742</v>
      </c>
      <c r="B23" s="395">
        <v>0</v>
      </c>
      <c r="C23" s="395"/>
      <c r="D23" s="395">
        <v>0</v>
      </c>
      <c r="E23" s="395"/>
      <c r="F23" s="395">
        <v>0</v>
      </c>
      <c r="G23" s="395"/>
      <c r="H23" s="395">
        <v>0</v>
      </c>
      <c r="I23" s="395"/>
      <c r="J23" s="395">
        <v>0</v>
      </c>
      <c r="K23" s="395"/>
      <c r="L23" s="395">
        <v>0</v>
      </c>
      <c r="M23" s="395"/>
      <c r="N23" s="395">
        <v>0</v>
      </c>
      <c r="O23" s="395"/>
      <c r="P23" s="395">
        <v>0</v>
      </c>
      <c r="Q23" s="395"/>
      <c r="R23" s="395">
        <v>0</v>
      </c>
      <c r="S23" s="395"/>
      <c r="T23" s="395">
        <f t="shared" si="1"/>
        <v>0</v>
      </c>
    </row>
    <row r="24" spans="1:20" ht="15" customHeight="1">
      <c r="A24" s="9" t="s">
        <v>743</v>
      </c>
      <c r="B24" s="395">
        <v>0</v>
      </c>
      <c r="C24" s="395"/>
      <c r="D24" s="395">
        <v>0</v>
      </c>
      <c r="E24" s="395"/>
      <c r="F24" s="395">
        <v>0</v>
      </c>
      <c r="G24" s="395"/>
      <c r="H24" s="395">
        <v>0</v>
      </c>
      <c r="I24" s="395"/>
      <c r="J24" s="395">
        <v>0</v>
      </c>
      <c r="K24" s="395"/>
      <c r="L24" s="395">
        <v>0</v>
      </c>
      <c r="M24" s="395"/>
      <c r="N24" s="395">
        <v>0</v>
      </c>
      <c r="O24" s="395"/>
      <c r="P24" s="395">
        <v>0</v>
      </c>
      <c r="Q24" s="395"/>
      <c r="R24" s="395">
        <v>0</v>
      </c>
      <c r="S24" s="395"/>
      <c r="T24" s="395">
        <f t="shared" si="1"/>
        <v>0</v>
      </c>
    </row>
    <row r="25" spans="1:20" ht="15" customHeight="1">
      <c r="A25" s="9" t="s">
        <v>746</v>
      </c>
      <c r="B25" s="395">
        <v>0</v>
      </c>
      <c r="C25" s="395"/>
      <c r="D25" s="395">
        <v>0</v>
      </c>
      <c r="E25" s="395"/>
      <c r="F25" s="395">
        <v>0</v>
      </c>
      <c r="G25" s="395"/>
      <c r="H25" s="395">
        <v>0</v>
      </c>
      <c r="I25" s="395"/>
      <c r="J25" s="395">
        <v>0</v>
      </c>
      <c r="K25" s="395"/>
      <c r="L25" s="395">
        <v>0</v>
      </c>
      <c r="M25" s="395"/>
      <c r="N25" s="395">
        <v>0</v>
      </c>
      <c r="O25" s="395"/>
      <c r="P25" s="395">
        <v>0</v>
      </c>
      <c r="Q25" s="395"/>
      <c r="R25" s="395">
        <v>0</v>
      </c>
      <c r="S25" s="395"/>
      <c r="T25" s="395">
        <f t="shared" si="1"/>
        <v>0</v>
      </c>
    </row>
    <row r="26" spans="1:20" ht="15" customHeight="1">
      <c r="A26" s="9" t="s">
        <v>744</v>
      </c>
      <c r="B26" s="395">
        <v>0</v>
      </c>
      <c r="C26" s="395"/>
      <c r="D26" s="395">
        <v>0</v>
      </c>
      <c r="E26" s="395"/>
      <c r="F26" s="395">
        <v>0</v>
      </c>
      <c r="G26" s="395"/>
      <c r="H26" s="395">
        <v>0</v>
      </c>
      <c r="I26" s="395"/>
      <c r="J26" s="395">
        <v>0</v>
      </c>
      <c r="K26" s="395"/>
      <c r="L26" s="395">
        <v>0</v>
      </c>
      <c r="M26" s="395"/>
      <c r="N26" s="395">
        <v>0</v>
      </c>
      <c r="O26" s="395"/>
      <c r="P26" s="395">
        <v>0</v>
      </c>
      <c r="Q26" s="395"/>
      <c r="R26" s="395">
        <v>0</v>
      </c>
      <c r="S26" s="395"/>
      <c r="T26" s="395">
        <f t="shared" si="1"/>
        <v>0</v>
      </c>
    </row>
    <row r="27" spans="1:20" ht="15" customHeight="1">
      <c r="A27" s="9" t="s">
        <v>745</v>
      </c>
      <c r="B27" s="396">
        <v>0</v>
      </c>
      <c r="C27" s="395"/>
      <c r="D27" s="395">
        <f>-Operations!C25</f>
        <v>0</v>
      </c>
      <c r="E27" s="395"/>
      <c r="F27" s="396">
        <v>0</v>
      </c>
      <c r="G27" s="395"/>
      <c r="H27" s="396">
        <v>0</v>
      </c>
      <c r="I27" s="395"/>
      <c r="J27" s="396">
        <v>0</v>
      </c>
      <c r="K27" s="395"/>
      <c r="L27" s="396">
        <v>0</v>
      </c>
      <c r="M27" s="395"/>
      <c r="N27" s="396">
        <v>0</v>
      </c>
      <c r="O27" s="395"/>
      <c r="P27" s="397">
        <v>0</v>
      </c>
      <c r="Q27" s="395"/>
      <c r="R27" s="397">
        <v>0</v>
      </c>
      <c r="S27" s="395"/>
      <c r="T27" s="395">
        <f t="shared" si="0"/>
        <v>0</v>
      </c>
    </row>
    <row r="28" spans="1:20" ht="15" customHeight="1">
      <c r="A28" s="390"/>
      <c r="B28" s="396">
        <f>SUM(B13:B27)</f>
        <v>0</v>
      </c>
      <c r="C28" s="395"/>
      <c r="D28" s="398">
        <f>SUM(D13:D27)</f>
        <v>0</v>
      </c>
      <c r="E28" s="395"/>
      <c r="F28" s="396">
        <f>SUM(F13:F27)</f>
        <v>-4522.833333333333</v>
      </c>
      <c r="G28" s="395"/>
      <c r="H28" s="396">
        <f>SUM(H13:H27)</f>
        <v>0</v>
      </c>
      <c r="I28" s="395"/>
      <c r="J28" s="396">
        <f>SUM(J13:J27)</f>
        <v>0</v>
      </c>
      <c r="K28" s="395"/>
      <c r="L28" s="396">
        <f>SUM(L13:L27)</f>
        <v>0</v>
      </c>
      <c r="M28" s="395"/>
      <c r="N28" s="396">
        <f>SUM(N13:N27)</f>
        <v>0</v>
      </c>
      <c r="O28" s="395"/>
      <c r="P28" s="396">
        <f>SUM(P13:P27)</f>
        <v>0</v>
      </c>
      <c r="Q28" s="395"/>
      <c r="R28" s="396">
        <f>SUM(R13:R27)</f>
        <v>288724.91008752747</v>
      </c>
      <c r="S28" s="395"/>
      <c r="T28" s="398">
        <f>SUM(T13:T27)</f>
        <v>284202.0767541941</v>
      </c>
    </row>
    <row r="29" spans="1:20" ht="15" customHeight="1">
      <c r="A29" s="390"/>
      <c r="B29" s="395"/>
      <c r="C29" s="395"/>
      <c r="D29" s="395"/>
      <c r="E29" s="395"/>
      <c r="F29" s="395"/>
      <c r="G29" s="395"/>
      <c r="H29" s="395"/>
      <c r="I29" s="395"/>
      <c r="J29" s="395"/>
      <c r="K29" s="395"/>
      <c r="L29" s="395"/>
      <c r="M29" s="395"/>
      <c r="N29" s="395"/>
      <c r="O29" s="395"/>
      <c r="P29" s="395"/>
      <c r="Q29" s="395"/>
      <c r="R29" s="395"/>
      <c r="S29" s="395"/>
      <c r="T29" s="395"/>
    </row>
    <row r="30" spans="1:20" ht="15" customHeight="1">
      <c r="A30" s="454" t="str">
        <f>+Operations!B29</f>
        <v>OPERATING EXPENSES</v>
      </c>
      <c r="B30" s="395"/>
      <c r="C30" s="395"/>
      <c r="D30" s="395"/>
      <c r="E30" s="395"/>
      <c r="F30" s="395"/>
      <c r="G30" s="395"/>
      <c r="H30" s="395"/>
      <c r="I30" s="395"/>
      <c r="J30" s="395"/>
      <c r="K30" s="395"/>
      <c r="L30" s="395"/>
      <c r="M30" s="395"/>
      <c r="N30" s="395"/>
      <c r="O30" s="395"/>
      <c r="P30" s="395"/>
      <c r="Q30" s="395"/>
      <c r="R30" s="395"/>
      <c r="S30" s="395"/>
      <c r="T30" s="395"/>
    </row>
    <row r="31" spans="1:20" ht="15" customHeight="1">
      <c r="A31" s="9" t="s">
        <v>708</v>
      </c>
      <c r="B31" s="395">
        <v>0</v>
      </c>
      <c r="C31" s="395"/>
      <c r="D31" s="395">
        <v>0</v>
      </c>
      <c r="E31" s="395"/>
      <c r="F31" s="395">
        <v>0</v>
      </c>
      <c r="G31" s="395"/>
      <c r="H31" s="395">
        <v>0</v>
      </c>
      <c r="I31" s="395"/>
      <c r="J31" s="395">
        <v>0</v>
      </c>
      <c r="K31" s="395"/>
      <c r="L31" s="395">
        <f>-'Sch 1 - Restated Exp'!D25</f>
        <v>-28600</v>
      </c>
      <c r="M31" s="395"/>
      <c r="N31" s="395">
        <v>0</v>
      </c>
      <c r="O31" s="395"/>
      <c r="P31" s="395">
        <v>0</v>
      </c>
      <c r="Q31" s="395"/>
      <c r="R31" s="395">
        <v>0</v>
      </c>
      <c r="S31" s="395"/>
      <c r="T31" s="395">
        <f>SUM(B31:R31)</f>
        <v>-28600</v>
      </c>
    </row>
    <row r="32" spans="1:20" ht="15" customHeight="1">
      <c r="A32" s="9" t="s">
        <v>726</v>
      </c>
      <c r="B32" s="395">
        <v>0</v>
      </c>
      <c r="C32" s="395"/>
      <c r="D32" s="395">
        <v>0</v>
      </c>
      <c r="E32" s="395"/>
      <c r="F32" s="395">
        <v>0</v>
      </c>
      <c r="G32" s="395"/>
      <c r="H32" s="395">
        <v>0</v>
      </c>
      <c r="I32" s="395"/>
      <c r="J32" s="395">
        <f>+'Sch 1 - Restated Exp'!E19+'Sch 1 - Restated Exp'!E20+'Sch 1 - Restated Exp'!E21</f>
        <v>-5462.9241992225043</v>
      </c>
      <c r="K32" s="395"/>
      <c r="L32" s="395">
        <v>0</v>
      </c>
      <c r="M32" s="395"/>
      <c r="N32" s="395">
        <f>+'Sch 1 - Restated Exp'!D28+'Sch 1 - Restated Exp'!D29+'Sch 1 - Restated Exp'!D30+'Sch 1 - Restated Exp'!D31</f>
        <v>10607.474598357574</v>
      </c>
      <c r="O32" s="395"/>
      <c r="P32" s="395">
        <f>+'Sch 1 - Restated Exp'!D34+'Sch 1 - Restated Exp'!D35</f>
        <v>-8951.5226212477919</v>
      </c>
      <c r="Q32" s="395"/>
      <c r="R32" s="395">
        <v>0</v>
      </c>
      <c r="S32" s="395"/>
      <c r="T32" s="395">
        <f t="shared" ref="T32:T72" si="2">SUM(B32:R32)</f>
        <v>-3806.9722221127222</v>
      </c>
    </row>
    <row r="33" spans="1:20" ht="15" customHeight="1">
      <c r="A33" s="9" t="s">
        <v>347</v>
      </c>
      <c r="B33" s="395">
        <v>0</v>
      </c>
      <c r="C33" s="395"/>
      <c r="D33" s="395">
        <v>0</v>
      </c>
      <c r="E33" s="395"/>
      <c r="F33" s="395">
        <v>0</v>
      </c>
      <c r="G33" s="395"/>
      <c r="H33" s="395">
        <v>0</v>
      </c>
      <c r="I33" s="395"/>
      <c r="J33" s="395">
        <v>0</v>
      </c>
      <c r="K33" s="395"/>
      <c r="L33" s="395">
        <v>0</v>
      </c>
      <c r="M33" s="395"/>
      <c r="N33" s="395">
        <v>0</v>
      </c>
      <c r="O33" s="395"/>
      <c r="P33" s="395">
        <v>0</v>
      </c>
      <c r="Q33" s="395"/>
      <c r="R33" s="395">
        <v>0</v>
      </c>
      <c r="S33" s="395"/>
      <c r="T33" s="395">
        <f t="shared" si="2"/>
        <v>0</v>
      </c>
    </row>
    <row r="34" spans="1:20" ht="15" customHeight="1">
      <c r="A34" s="9" t="s">
        <v>71</v>
      </c>
      <c r="B34" s="395">
        <v>0</v>
      </c>
      <c r="C34" s="395"/>
      <c r="D34" s="395">
        <v>0</v>
      </c>
      <c r="E34" s="395"/>
      <c r="F34" s="395">
        <f>+'WP-8 - Bad Debts'!B25:B25</f>
        <v>0</v>
      </c>
      <c r="G34" s="395"/>
      <c r="H34" s="395">
        <v>0</v>
      </c>
      <c r="I34" s="395"/>
      <c r="J34" s="395">
        <v>0</v>
      </c>
      <c r="K34" s="395"/>
      <c r="L34" s="395">
        <v>0</v>
      </c>
      <c r="M34" s="395"/>
      <c r="N34" s="395">
        <v>0</v>
      </c>
      <c r="O34" s="395"/>
      <c r="P34" s="395">
        <v>0</v>
      </c>
      <c r="Q34" s="395"/>
      <c r="R34" s="395">
        <v>0</v>
      </c>
      <c r="S34" s="395"/>
      <c r="T34" s="395">
        <f t="shared" si="2"/>
        <v>0</v>
      </c>
    </row>
    <row r="35" spans="1:20" ht="15" customHeight="1">
      <c r="A35" s="9" t="s">
        <v>727</v>
      </c>
      <c r="B35" s="395">
        <v>0</v>
      </c>
      <c r="C35" s="395"/>
      <c r="D35" s="395">
        <v>0</v>
      </c>
      <c r="E35" s="395"/>
      <c r="F35" s="395">
        <v>0</v>
      </c>
      <c r="G35" s="395"/>
      <c r="H35" s="395">
        <v>0</v>
      </c>
      <c r="I35" s="395"/>
      <c r="J35" s="395">
        <v>0</v>
      </c>
      <c r="K35" s="395"/>
      <c r="L35" s="395">
        <v>0</v>
      </c>
      <c r="M35" s="395"/>
      <c r="N35" s="395">
        <v>0</v>
      </c>
      <c r="O35" s="395"/>
      <c r="P35" s="395">
        <v>0</v>
      </c>
      <c r="Q35" s="395"/>
      <c r="R35" s="395">
        <v>0</v>
      </c>
      <c r="S35" s="395"/>
      <c r="T35" s="395">
        <f t="shared" si="2"/>
        <v>0</v>
      </c>
    </row>
    <row r="36" spans="1:20" ht="15" customHeight="1">
      <c r="A36" s="9" t="s">
        <v>348</v>
      </c>
      <c r="B36" s="395">
        <v>0</v>
      </c>
      <c r="C36" s="395"/>
      <c r="D36" s="395">
        <v>0</v>
      </c>
      <c r="E36" s="395"/>
      <c r="F36" s="395">
        <v>0</v>
      </c>
      <c r="G36" s="395"/>
      <c r="H36" s="395">
        <v>0</v>
      </c>
      <c r="I36" s="395"/>
      <c r="J36" s="395"/>
      <c r="K36" s="395"/>
      <c r="L36" s="395">
        <v>0</v>
      </c>
      <c r="M36" s="395"/>
      <c r="N36" s="395">
        <f>+'Sch 1 - Restated Exp'!C54</f>
        <v>0</v>
      </c>
      <c r="O36" s="395"/>
      <c r="P36" s="395">
        <v>0</v>
      </c>
      <c r="Q36" s="395"/>
      <c r="R36" s="395">
        <v>0</v>
      </c>
      <c r="S36" s="395"/>
      <c r="T36" s="395">
        <f t="shared" si="2"/>
        <v>0</v>
      </c>
    </row>
    <row r="37" spans="1:20" ht="15" customHeight="1">
      <c r="A37" s="9" t="s">
        <v>722</v>
      </c>
      <c r="B37" s="395">
        <v>0</v>
      </c>
      <c r="C37" s="395"/>
      <c r="D37" s="395">
        <v>0</v>
      </c>
      <c r="E37" s="395"/>
      <c r="F37" s="395">
        <v>0</v>
      </c>
      <c r="G37" s="395"/>
      <c r="H37" s="395">
        <v>0</v>
      </c>
      <c r="I37" s="395"/>
      <c r="J37" s="395">
        <v>0</v>
      </c>
      <c r="K37" s="395"/>
      <c r="L37" s="395">
        <v>0</v>
      </c>
      <c r="M37" s="395"/>
      <c r="N37" s="395">
        <v>0</v>
      </c>
      <c r="O37" s="395"/>
      <c r="P37" s="395">
        <v>0</v>
      </c>
      <c r="Q37" s="395"/>
      <c r="R37" s="395">
        <v>0</v>
      </c>
      <c r="S37" s="395"/>
      <c r="T37" s="395">
        <f t="shared" si="2"/>
        <v>0</v>
      </c>
    </row>
    <row r="38" spans="1:20" ht="15" customHeight="1">
      <c r="A38" s="9" t="s">
        <v>349</v>
      </c>
      <c r="B38" s="395">
        <v>0</v>
      </c>
      <c r="C38" s="395"/>
      <c r="D38" s="395">
        <f>-'Sch 4 - 12 Months'!O35</f>
        <v>-3325</v>
      </c>
      <c r="E38" s="395"/>
      <c r="F38" s="395">
        <v>0</v>
      </c>
      <c r="G38" s="395"/>
      <c r="H38" s="395">
        <v>0</v>
      </c>
      <c r="I38" s="395"/>
      <c r="J38" s="395">
        <v>0</v>
      </c>
      <c r="K38" s="395"/>
      <c r="L38" s="395">
        <v>0</v>
      </c>
      <c r="M38" s="395"/>
      <c r="N38" s="395">
        <v>0</v>
      </c>
      <c r="O38" s="395"/>
      <c r="P38" s="395">
        <v>0</v>
      </c>
      <c r="Q38" s="395"/>
      <c r="R38" s="395">
        <v>0</v>
      </c>
      <c r="S38" s="395"/>
      <c r="T38" s="395">
        <f t="shared" si="2"/>
        <v>-3325</v>
      </c>
    </row>
    <row r="39" spans="1:20" ht="15" customHeight="1">
      <c r="A39" s="9" t="s">
        <v>711</v>
      </c>
      <c r="B39" s="395">
        <v>0</v>
      </c>
      <c r="C39" s="395"/>
      <c r="D39" s="395">
        <f>-'WP-4 - Dues &amp; Subs'!K27</f>
        <v>0</v>
      </c>
      <c r="E39" s="395"/>
      <c r="F39" s="395">
        <v>0</v>
      </c>
      <c r="G39" s="395"/>
      <c r="H39" s="395">
        <v>0</v>
      </c>
      <c r="I39" s="395"/>
      <c r="J39" s="395">
        <v>0</v>
      </c>
      <c r="K39" s="395"/>
      <c r="L39" s="395">
        <v>0</v>
      </c>
      <c r="M39" s="395"/>
      <c r="N39" s="395">
        <v>0</v>
      </c>
      <c r="O39" s="395"/>
      <c r="P39" s="395">
        <v>0</v>
      </c>
      <c r="Q39" s="395"/>
      <c r="R39" s="395">
        <v>0</v>
      </c>
      <c r="S39" s="395"/>
      <c r="T39" s="395">
        <f t="shared" si="2"/>
        <v>0</v>
      </c>
    </row>
    <row r="40" spans="1:20" ht="15" customHeight="1">
      <c r="A40" s="9" t="s">
        <v>705</v>
      </c>
      <c r="B40" s="395">
        <v>0</v>
      </c>
      <c r="C40" s="395"/>
      <c r="D40" s="395">
        <v>0</v>
      </c>
      <c r="E40" s="395"/>
      <c r="F40" s="395">
        <v>0</v>
      </c>
      <c r="G40" s="395"/>
      <c r="H40" s="395">
        <v>0</v>
      </c>
      <c r="I40" s="395"/>
      <c r="J40" s="395">
        <v>0</v>
      </c>
      <c r="K40" s="395"/>
      <c r="L40" s="395">
        <v>0</v>
      </c>
      <c r="M40" s="399"/>
      <c r="N40" s="395">
        <v>0</v>
      </c>
      <c r="O40" s="395"/>
      <c r="P40" s="395">
        <v>0</v>
      </c>
      <c r="Q40" s="395"/>
      <c r="R40" s="395">
        <v>0</v>
      </c>
      <c r="S40" s="395"/>
      <c r="T40" s="395">
        <f t="shared" si="2"/>
        <v>0</v>
      </c>
    </row>
    <row r="41" spans="1:20" ht="15" customHeight="1">
      <c r="A41" s="9" t="s">
        <v>58</v>
      </c>
      <c r="B41" s="395">
        <v>0</v>
      </c>
      <c r="C41" s="395"/>
      <c r="D41" s="395">
        <v>0</v>
      </c>
      <c r="E41" s="395"/>
      <c r="F41" s="395">
        <v>0</v>
      </c>
      <c r="G41" s="395"/>
      <c r="H41" s="395">
        <v>0</v>
      </c>
      <c r="I41" s="395"/>
      <c r="J41" s="395">
        <v>0</v>
      </c>
      <c r="K41" s="395"/>
      <c r="L41" s="395">
        <v>0</v>
      </c>
      <c r="M41" s="395"/>
      <c r="N41" s="395">
        <v>0</v>
      </c>
      <c r="O41" s="395"/>
      <c r="P41" s="395">
        <v>0</v>
      </c>
      <c r="Q41" s="395"/>
      <c r="R41" s="395">
        <v>0</v>
      </c>
      <c r="S41" s="395"/>
      <c r="T41" s="395">
        <f t="shared" si="2"/>
        <v>0</v>
      </c>
    </row>
    <row r="42" spans="1:20" ht="15" customHeight="1">
      <c r="A42" s="9" t="s">
        <v>102</v>
      </c>
      <c r="B42" s="395">
        <v>0</v>
      </c>
      <c r="C42" s="395"/>
      <c r="D42" s="395">
        <v>0</v>
      </c>
      <c r="E42" s="395"/>
      <c r="F42" s="395">
        <v>0</v>
      </c>
      <c r="G42" s="395"/>
      <c r="H42" s="395">
        <v>0</v>
      </c>
      <c r="I42" s="395"/>
      <c r="J42" s="395">
        <v>0</v>
      </c>
      <c r="K42" s="395"/>
      <c r="L42" s="395">
        <v>0</v>
      </c>
      <c r="M42" s="399"/>
      <c r="N42" s="395"/>
      <c r="O42" s="395"/>
      <c r="P42" s="395">
        <v>0</v>
      </c>
      <c r="Q42" s="395"/>
      <c r="R42" s="395">
        <v>0</v>
      </c>
      <c r="S42" s="395"/>
      <c r="T42" s="395">
        <f t="shared" si="2"/>
        <v>0</v>
      </c>
    </row>
    <row r="43" spans="1:20" ht="15" customHeight="1">
      <c r="A43" s="9" t="s">
        <v>12</v>
      </c>
      <c r="B43" s="395">
        <v>0</v>
      </c>
      <c r="C43" s="395"/>
      <c r="D43" s="395">
        <v>0</v>
      </c>
      <c r="E43" s="395"/>
      <c r="F43" s="395">
        <v>0</v>
      </c>
      <c r="G43" s="395"/>
      <c r="H43" s="395">
        <v>0</v>
      </c>
      <c r="I43" s="395"/>
      <c r="J43" s="395">
        <v>0</v>
      </c>
      <c r="K43" s="395"/>
      <c r="L43" s="395">
        <v>0</v>
      </c>
      <c r="M43" s="395"/>
      <c r="N43" s="395">
        <v>0</v>
      </c>
      <c r="O43" s="395"/>
      <c r="P43" s="395">
        <v>0</v>
      </c>
      <c r="Q43" s="395"/>
      <c r="R43" s="395">
        <v>0</v>
      </c>
      <c r="S43" s="395"/>
      <c r="T43" s="395">
        <f t="shared" si="2"/>
        <v>0</v>
      </c>
    </row>
    <row r="44" spans="1:20" ht="15" customHeight="1">
      <c r="A44" s="9" t="s">
        <v>720</v>
      </c>
      <c r="B44" s="395">
        <v>0</v>
      </c>
      <c r="C44" s="395"/>
      <c r="D44" s="395">
        <v>0</v>
      </c>
      <c r="E44" s="395"/>
      <c r="F44" s="395">
        <v>0</v>
      </c>
      <c r="G44" s="395"/>
      <c r="H44" s="395">
        <v>0</v>
      </c>
      <c r="I44" s="395"/>
      <c r="J44" s="395">
        <v>0</v>
      </c>
      <c r="K44" s="395"/>
      <c r="L44" s="395">
        <v>0</v>
      </c>
      <c r="M44" s="395"/>
      <c r="N44" s="395">
        <v>0</v>
      </c>
      <c r="O44" s="395"/>
      <c r="P44" s="395">
        <v>0</v>
      </c>
      <c r="Q44" s="395"/>
      <c r="R44" s="395">
        <v>0</v>
      </c>
      <c r="S44" s="395"/>
      <c r="T44" s="395">
        <f t="shared" si="2"/>
        <v>0</v>
      </c>
    </row>
    <row r="45" spans="1:20" ht="15" customHeight="1">
      <c r="A45" s="9" t="s">
        <v>29</v>
      </c>
      <c r="B45" s="395">
        <v>0</v>
      </c>
      <c r="C45" s="395"/>
      <c r="D45" s="395">
        <v>0</v>
      </c>
      <c r="E45" s="395"/>
      <c r="F45" s="395">
        <v>0</v>
      </c>
      <c r="G45" s="395"/>
      <c r="H45" s="395">
        <v>0</v>
      </c>
      <c r="I45" s="395"/>
      <c r="J45" s="395">
        <v>0</v>
      </c>
      <c r="K45" s="395"/>
      <c r="L45" s="395">
        <v>0</v>
      </c>
      <c r="M45" s="395"/>
      <c r="N45" s="395">
        <v>0</v>
      </c>
      <c r="O45" s="395"/>
      <c r="P45" s="395">
        <v>0</v>
      </c>
      <c r="Q45" s="395"/>
      <c r="R45" s="395">
        <v>0</v>
      </c>
      <c r="S45" s="395"/>
      <c r="T45" s="395">
        <f t="shared" si="2"/>
        <v>0</v>
      </c>
    </row>
    <row r="46" spans="1:20" ht="15" customHeight="1">
      <c r="A46" s="9" t="s">
        <v>723</v>
      </c>
      <c r="B46" s="395">
        <v>0</v>
      </c>
      <c r="C46" s="395"/>
      <c r="D46" s="395">
        <v>0</v>
      </c>
      <c r="E46" s="395"/>
      <c r="F46" s="395">
        <v>0</v>
      </c>
      <c r="G46" s="395"/>
      <c r="H46" s="395">
        <v>0</v>
      </c>
      <c r="I46" s="395"/>
      <c r="J46" s="395">
        <v>0</v>
      </c>
      <c r="K46" s="395"/>
      <c r="L46" s="395">
        <v>0</v>
      </c>
      <c r="M46" s="395"/>
      <c r="N46" s="395">
        <v>0</v>
      </c>
      <c r="O46" s="395"/>
      <c r="P46" s="395">
        <v>0</v>
      </c>
      <c r="Q46" s="395"/>
      <c r="R46" s="395">
        <v>0</v>
      </c>
      <c r="S46" s="395"/>
      <c r="T46" s="395">
        <f t="shared" si="2"/>
        <v>0</v>
      </c>
    </row>
    <row r="47" spans="1:20" ht="15" customHeight="1">
      <c r="A47" s="9" t="s">
        <v>709</v>
      </c>
      <c r="B47" s="395">
        <v>0</v>
      </c>
      <c r="C47" s="395"/>
      <c r="D47" s="395">
        <v>0</v>
      </c>
      <c r="E47" s="395"/>
      <c r="F47" s="395">
        <v>0</v>
      </c>
      <c r="G47" s="395"/>
      <c r="H47" s="395">
        <v>0</v>
      </c>
      <c r="I47" s="395"/>
      <c r="J47" s="395">
        <v>0</v>
      </c>
      <c r="K47" s="395"/>
      <c r="L47" s="395">
        <v>0</v>
      </c>
      <c r="M47" s="395"/>
      <c r="N47" s="395">
        <v>0</v>
      </c>
      <c r="O47" s="395"/>
      <c r="P47" s="395">
        <v>0</v>
      </c>
      <c r="Q47" s="395"/>
      <c r="R47" s="395">
        <v>0</v>
      </c>
      <c r="S47" s="395"/>
      <c r="T47" s="395">
        <f t="shared" si="2"/>
        <v>0</v>
      </c>
    </row>
    <row r="48" spans="1:20" ht="15" customHeight="1">
      <c r="A48" s="9" t="s">
        <v>706</v>
      </c>
      <c r="B48" s="395">
        <v>0</v>
      </c>
      <c r="C48" s="395"/>
      <c r="D48" s="395">
        <v>0</v>
      </c>
      <c r="E48" s="395"/>
      <c r="F48" s="395">
        <v>0</v>
      </c>
      <c r="G48" s="395"/>
      <c r="H48" s="395">
        <v>0</v>
      </c>
      <c r="I48" s="395"/>
      <c r="J48" s="395">
        <v>0</v>
      </c>
      <c r="K48" s="395"/>
      <c r="L48" s="395">
        <v>0</v>
      </c>
      <c r="M48" s="395"/>
      <c r="N48" s="395">
        <v>0</v>
      </c>
      <c r="O48" s="395"/>
      <c r="P48" s="395">
        <v>0</v>
      </c>
      <c r="Q48" s="395"/>
      <c r="R48" s="395">
        <v>0</v>
      </c>
      <c r="S48" s="395"/>
      <c r="T48" s="395">
        <f t="shared" si="2"/>
        <v>0</v>
      </c>
    </row>
    <row r="49" spans="1:20" ht="15" customHeight="1">
      <c r="A49" s="9" t="s">
        <v>719</v>
      </c>
      <c r="B49" s="395">
        <v>0</v>
      </c>
      <c r="C49" s="395"/>
      <c r="D49" s="395">
        <v>0</v>
      </c>
      <c r="E49" s="395"/>
      <c r="F49" s="395">
        <v>0</v>
      </c>
      <c r="G49" s="395"/>
      <c r="H49" s="395">
        <v>0</v>
      </c>
      <c r="I49" s="395"/>
      <c r="J49" s="395">
        <v>0</v>
      </c>
      <c r="K49" s="395"/>
      <c r="L49" s="395">
        <v>0</v>
      </c>
      <c r="M49" s="395"/>
      <c r="N49" s="395">
        <v>0</v>
      </c>
      <c r="O49" s="395"/>
      <c r="P49" s="395">
        <v>0</v>
      </c>
      <c r="Q49" s="395"/>
      <c r="R49" s="395">
        <v>0</v>
      </c>
      <c r="S49" s="395"/>
      <c r="T49" s="395">
        <f t="shared" si="2"/>
        <v>0</v>
      </c>
    </row>
    <row r="50" spans="1:20" ht="15" customHeight="1">
      <c r="A50" s="9" t="s">
        <v>718</v>
      </c>
      <c r="B50" s="395">
        <v>0</v>
      </c>
      <c r="C50" s="395"/>
      <c r="D50" s="395">
        <v>0</v>
      </c>
      <c r="E50" s="395"/>
      <c r="F50" s="395">
        <v>0</v>
      </c>
      <c r="G50" s="395"/>
      <c r="H50" s="395">
        <v>0</v>
      </c>
      <c r="I50" s="395"/>
      <c r="J50" s="395">
        <v>0</v>
      </c>
      <c r="K50" s="395"/>
      <c r="L50" s="395">
        <v>0</v>
      </c>
      <c r="M50" s="395"/>
      <c r="N50" s="395">
        <v>0</v>
      </c>
      <c r="O50" s="395"/>
      <c r="P50" s="395">
        <v>0</v>
      </c>
      <c r="Q50" s="395"/>
      <c r="R50" s="395">
        <v>0</v>
      </c>
      <c r="S50" s="395"/>
      <c r="T50" s="395">
        <f t="shared" si="2"/>
        <v>0</v>
      </c>
    </row>
    <row r="51" spans="1:20" ht="15" customHeight="1">
      <c r="A51" s="9" t="s">
        <v>716</v>
      </c>
      <c r="B51" s="395">
        <v>0</v>
      </c>
      <c r="C51" s="395"/>
      <c r="D51" s="395">
        <v>0</v>
      </c>
      <c r="E51" s="395"/>
      <c r="F51" s="395">
        <v>0</v>
      </c>
      <c r="G51" s="395"/>
      <c r="H51" s="395">
        <v>0</v>
      </c>
      <c r="I51" s="395"/>
      <c r="J51" s="395">
        <v>0</v>
      </c>
      <c r="K51" s="395"/>
      <c r="L51" s="395">
        <v>0</v>
      </c>
      <c r="M51" s="395"/>
      <c r="N51" s="395">
        <v>0</v>
      </c>
      <c r="O51" s="395"/>
      <c r="P51" s="395">
        <v>0</v>
      </c>
      <c r="Q51" s="395"/>
      <c r="R51" s="395">
        <v>0</v>
      </c>
      <c r="S51" s="395"/>
      <c r="T51" s="395">
        <f t="shared" si="2"/>
        <v>0</v>
      </c>
    </row>
    <row r="52" spans="1:20" ht="15" customHeight="1">
      <c r="A52" s="9" t="s">
        <v>729</v>
      </c>
      <c r="B52" s="395">
        <v>0</v>
      </c>
      <c r="C52" s="395"/>
      <c r="D52" s="395">
        <v>0</v>
      </c>
      <c r="E52" s="395"/>
      <c r="F52" s="395">
        <v>0</v>
      </c>
      <c r="G52" s="395"/>
      <c r="H52" s="395">
        <v>0</v>
      </c>
      <c r="I52" s="395"/>
      <c r="J52" s="395">
        <v>0</v>
      </c>
      <c r="K52" s="395"/>
      <c r="L52" s="395">
        <v>0</v>
      </c>
      <c r="M52" s="395"/>
      <c r="N52" s="395">
        <v>0</v>
      </c>
      <c r="O52" s="395"/>
      <c r="P52" s="395">
        <v>0</v>
      </c>
      <c r="Q52" s="395"/>
      <c r="R52" s="395">
        <v>0</v>
      </c>
      <c r="S52" s="395"/>
      <c r="T52" s="395">
        <f t="shared" si="2"/>
        <v>0</v>
      </c>
    </row>
    <row r="53" spans="1:20" ht="15" customHeight="1">
      <c r="A53" s="9" t="s">
        <v>721</v>
      </c>
      <c r="B53" s="395">
        <v>0</v>
      </c>
      <c r="C53" s="395"/>
      <c r="D53" s="395">
        <v>0</v>
      </c>
      <c r="E53" s="395"/>
      <c r="F53" s="395">
        <v>0</v>
      </c>
      <c r="G53" s="395"/>
      <c r="H53" s="395">
        <v>0</v>
      </c>
      <c r="I53" s="395"/>
      <c r="J53" s="395">
        <v>0</v>
      </c>
      <c r="K53" s="395"/>
      <c r="L53" s="395">
        <v>0</v>
      </c>
      <c r="M53" s="395"/>
      <c r="N53" s="395">
        <v>0</v>
      </c>
      <c r="O53" s="395"/>
      <c r="P53" s="395">
        <v>0</v>
      </c>
      <c r="Q53" s="395"/>
      <c r="R53" s="395">
        <v>0</v>
      </c>
      <c r="S53" s="395"/>
      <c r="T53" s="395">
        <f t="shared" si="2"/>
        <v>0</v>
      </c>
    </row>
    <row r="54" spans="1:20" ht="15" customHeight="1">
      <c r="A54" s="9" t="s">
        <v>710</v>
      </c>
      <c r="B54" s="395">
        <v>0</v>
      </c>
      <c r="C54" s="395"/>
      <c r="D54" s="395">
        <v>0</v>
      </c>
      <c r="E54" s="395"/>
      <c r="F54" s="395">
        <v>0</v>
      </c>
      <c r="G54" s="395"/>
      <c r="H54" s="395">
        <v>0</v>
      </c>
      <c r="I54" s="395"/>
      <c r="J54" s="395">
        <v>0</v>
      </c>
      <c r="K54" s="395"/>
      <c r="L54" s="395">
        <v>0</v>
      </c>
      <c r="M54" s="399"/>
      <c r="N54" s="395">
        <v>0</v>
      </c>
      <c r="O54" s="395"/>
      <c r="P54" s="395">
        <v>0</v>
      </c>
      <c r="Q54" s="395"/>
      <c r="R54" s="395">
        <v>0</v>
      </c>
      <c r="S54" s="395"/>
      <c r="T54" s="395">
        <f t="shared" si="2"/>
        <v>0</v>
      </c>
    </row>
    <row r="55" spans="1:20" ht="15" customHeight="1">
      <c r="A55" s="9" t="s">
        <v>724</v>
      </c>
      <c r="B55" s="395">
        <v>0</v>
      </c>
      <c r="C55" s="395"/>
      <c r="D55" s="395">
        <v>0</v>
      </c>
      <c r="E55" s="395"/>
      <c r="F55" s="395">
        <v>0</v>
      </c>
      <c r="G55" s="395"/>
      <c r="H55" s="395">
        <v>0</v>
      </c>
      <c r="I55" s="395"/>
      <c r="J55" s="395">
        <v>0</v>
      </c>
      <c r="K55" s="395"/>
      <c r="L55" s="395">
        <v>0</v>
      </c>
      <c r="M55" s="399"/>
      <c r="N55" s="395">
        <v>0</v>
      </c>
      <c r="O55" s="395"/>
      <c r="P55" s="395">
        <v>0</v>
      </c>
      <c r="Q55" s="395"/>
      <c r="R55" s="395">
        <v>0</v>
      </c>
      <c r="S55" s="395"/>
      <c r="T55" s="395">
        <f t="shared" si="2"/>
        <v>0</v>
      </c>
    </row>
    <row r="56" spans="1:20" ht="15" customHeight="1">
      <c r="A56" s="9" t="s">
        <v>715</v>
      </c>
      <c r="B56" s="395">
        <v>0</v>
      </c>
      <c r="C56" s="395"/>
      <c r="D56" s="395">
        <v>0</v>
      </c>
      <c r="E56" s="395"/>
      <c r="F56" s="395">
        <v>0</v>
      </c>
      <c r="G56" s="395"/>
      <c r="H56" s="395">
        <v>0</v>
      </c>
      <c r="I56" s="395"/>
      <c r="J56" s="395">
        <v>0</v>
      </c>
      <c r="K56" s="395"/>
      <c r="L56" s="395">
        <v>0</v>
      </c>
      <c r="M56" s="395"/>
      <c r="N56" s="395">
        <v>0</v>
      </c>
      <c r="O56" s="395"/>
      <c r="P56" s="395">
        <v>0</v>
      </c>
      <c r="Q56" s="395"/>
      <c r="R56" s="395">
        <v>0</v>
      </c>
      <c r="S56" s="395"/>
      <c r="T56" s="395">
        <f t="shared" si="2"/>
        <v>0</v>
      </c>
    </row>
    <row r="57" spans="1:20" ht="15" customHeight="1">
      <c r="A57" s="9" t="s">
        <v>350</v>
      </c>
      <c r="B57" s="395">
        <v>0</v>
      </c>
      <c r="C57" s="395"/>
      <c r="D57" s="395">
        <v>0</v>
      </c>
      <c r="E57" s="395"/>
      <c r="F57" s="395">
        <v>0</v>
      </c>
      <c r="G57" s="395"/>
      <c r="H57" s="395">
        <v>0</v>
      </c>
      <c r="I57" s="395"/>
      <c r="J57" s="395">
        <v>0</v>
      </c>
      <c r="K57" s="395"/>
      <c r="L57" s="395">
        <v>0</v>
      </c>
      <c r="M57" s="395"/>
      <c r="N57" s="395">
        <v>0</v>
      </c>
      <c r="O57" s="395"/>
      <c r="P57" s="395">
        <v>0</v>
      </c>
      <c r="Q57" s="395"/>
      <c r="R57" s="395">
        <v>0</v>
      </c>
      <c r="S57" s="395"/>
      <c r="T57" s="395">
        <f t="shared" si="2"/>
        <v>0</v>
      </c>
    </row>
    <row r="58" spans="1:20" ht="15" customHeight="1">
      <c r="A58" s="9" t="s">
        <v>730</v>
      </c>
      <c r="B58" s="395">
        <v>0</v>
      </c>
      <c r="C58" s="395"/>
      <c r="D58" s="395">
        <v>0</v>
      </c>
      <c r="E58" s="395"/>
      <c r="F58" s="395">
        <v>0</v>
      </c>
      <c r="G58" s="395"/>
      <c r="H58" s="395">
        <v>0</v>
      </c>
      <c r="I58" s="395"/>
      <c r="J58" s="395">
        <v>0</v>
      </c>
      <c r="K58" s="395"/>
      <c r="L58" s="395">
        <v>0</v>
      </c>
      <c r="M58" s="395"/>
      <c r="N58" s="395">
        <v>0</v>
      </c>
      <c r="O58" s="395"/>
      <c r="P58" s="395">
        <v>0</v>
      </c>
      <c r="Q58" s="395"/>
      <c r="R58" s="395">
        <v>0</v>
      </c>
      <c r="S58" s="395"/>
      <c r="T58" s="395">
        <f t="shared" si="2"/>
        <v>0</v>
      </c>
    </row>
    <row r="59" spans="1:20" ht="15" customHeight="1">
      <c r="A59" s="9" t="s">
        <v>704</v>
      </c>
      <c r="B59" s="395">
        <v>0</v>
      </c>
      <c r="C59" s="395"/>
      <c r="D59" s="395">
        <v>0</v>
      </c>
      <c r="E59" s="395"/>
      <c r="F59" s="395">
        <v>0</v>
      </c>
      <c r="G59" s="395"/>
      <c r="H59" s="395">
        <v>0</v>
      </c>
      <c r="I59" s="395"/>
      <c r="J59" s="395">
        <v>0</v>
      </c>
      <c r="K59" s="395"/>
      <c r="L59" s="395">
        <v>0</v>
      </c>
      <c r="M59" s="395"/>
      <c r="N59" s="395">
        <v>0</v>
      </c>
      <c r="O59" s="395"/>
      <c r="P59" s="395">
        <v>0</v>
      </c>
      <c r="Q59" s="395"/>
      <c r="R59" s="395">
        <v>0</v>
      </c>
      <c r="S59" s="395"/>
      <c r="T59" s="395">
        <f t="shared" si="2"/>
        <v>0</v>
      </c>
    </row>
    <row r="60" spans="1:20" ht="15" customHeight="1">
      <c r="A60" s="9" t="s">
        <v>703</v>
      </c>
      <c r="B60" s="395">
        <v>0</v>
      </c>
      <c r="C60" s="395"/>
      <c r="D60" s="395">
        <v>0</v>
      </c>
      <c r="E60" s="395"/>
      <c r="F60" s="395">
        <v>0</v>
      </c>
      <c r="G60" s="395"/>
      <c r="H60" s="395">
        <v>0</v>
      </c>
      <c r="I60" s="395"/>
      <c r="J60" s="395">
        <v>0</v>
      </c>
      <c r="K60" s="395"/>
      <c r="L60" s="395">
        <v>0</v>
      </c>
      <c r="M60" s="395"/>
      <c r="N60" s="395">
        <v>0</v>
      </c>
      <c r="O60" s="395"/>
      <c r="P60" s="395">
        <v>0</v>
      </c>
      <c r="Q60" s="395"/>
      <c r="R60" s="395">
        <v>0</v>
      </c>
      <c r="S60" s="395"/>
      <c r="T60" s="395">
        <f t="shared" si="2"/>
        <v>0</v>
      </c>
    </row>
    <row r="61" spans="1:20" ht="15" customHeight="1">
      <c r="A61" s="9" t="s">
        <v>352</v>
      </c>
      <c r="B61" s="395">
        <v>0</v>
      </c>
      <c r="C61" s="395"/>
      <c r="D61" s="395">
        <v>0</v>
      </c>
      <c r="E61" s="395"/>
      <c r="F61" s="395">
        <v>0</v>
      </c>
      <c r="G61" s="395"/>
      <c r="H61" s="395">
        <v>0</v>
      </c>
      <c r="I61" s="395"/>
      <c r="J61" s="395">
        <v>0</v>
      </c>
      <c r="K61" s="395"/>
      <c r="L61" s="395"/>
      <c r="M61" s="399"/>
      <c r="N61" s="395">
        <v>0</v>
      </c>
      <c r="O61" s="395"/>
      <c r="P61" s="395">
        <v>0</v>
      </c>
      <c r="Q61" s="395"/>
      <c r="R61" s="395">
        <v>0</v>
      </c>
      <c r="S61" s="395"/>
      <c r="T61" s="395">
        <f t="shared" si="2"/>
        <v>0</v>
      </c>
    </row>
    <row r="62" spans="1:20" ht="15" customHeight="1">
      <c r="A62" s="9" t="s">
        <v>713</v>
      </c>
      <c r="B62" s="395">
        <v>0</v>
      </c>
      <c r="C62" s="395"/>
      <c r="D62" s="395">
        <v>0</v>
      </c>
      <c r="E62" s="395"/>
      <c r="F62" s="395">
        <v>0</v>
      </c>
      <c r="G62" s="395"/>
      <c r="H62" s="395">
        <v>0</v>
      </c>
      <c r="I62" s="395"/>
      <c r="J62" s="395">
        <v>0</v>
      </c>
      <c r="K62" s="395"/>
      <c r="L62" s="395">
        <v>0</v>
      </c>
      <c r="M62" s="395"/>
      <c r="N62" s="395">
        <v>0</v>
      </c>
      <c r="O62" s="395"/>
      <c r="P62" s="395">
        <v>0</v>
      </c>
      <c r="Q62" s="395"/>
      <c r="R62" s="395">
        <v>0</v>
      </c>
      <c r="S62" s="395"/>
      <c r="T62" s="395">
        <f t="shared" si="2"/>
        <v>0</v>
      </c>
    </row>
    <row r="63" spans="1:20" ht="15" customHeight="1">
      <c r="A63" s="9" t="s">
        <v>707</v>
      </c>
      <c r="B63" s="395">
        <v>0</v>
      </c>
      <c r="C63" s="395"/>
      <c r="D63" s="395">
        <v>0</v>
      </c>
      <c r="E63" s="395"/>
      <c r="F63" s="395">
        <v>0</v>
      </c>
      <c r="G63" s="395"/>
      <c r="H63" s="395">
        <v>0</v>
      </c>
      <c r="I63" s="395"/>
      <c r="J63" s="395">
        <v>0</v>
      </c>
      <c r="K63" s="395"/>
      <c r="L63" s="395">
        <v>0</v>
      </c>
      <c r="M63" s="399"/>
      <c r="N63" s="395">
        <v>0</v>
      </c>
      <c r="O63" s="395"/>
      <c r="P63" s="395">
        <v>0</v>
      </c>
      <c r="Q63" s="395"/>
      <c r="R63" s="395">
        <v>0</v>
      </c>
      <c r="S63" s="395"/>
      <c r="T63" s="395">
        <f t="shared" si="2"/>
        <v>0</v>
      </c>
    </row>
    <row r="64" spans="1:20" ht="15" customHeight="1">
      <c r="A64" s="9" t="s">
        <v>725</v>
      </c>
      <c r="B64" s="395">
        <v>0</v>
      </c>
      <c r="C64" s="395"/>
      <c r="D64" s="395">
        <v>0</v>
      </c>
      <c r="E64" s="395"/>
      <c r="F64" s="395">
        <v>0</v>
      </c>
      <c r="G64" s="395"/>
      <c r="H64" s="395">
        <v>0</v>
      </c>
      <c r="I64" s="395"/>
      <c r="J64" s="395">
        <v>0</v>
      </c>
      <c r="K64" s="395"/>
      <c r="L64" s="395">
        <v>0</v>
      </c>
      <c r="M64" s="395"/>
      <c r="N64" s="395">
        <v>0</v>
      </c>
      <c r="O64" s="395"/>
      <c r="P64" s="395">
        <v>0</v>
      </c>
      <c r="Q64" s="395"/>
      <c r="R64" s="395">
        <v>0</v>
      </c>
      <c r="S64" s="395"/>
      <c r="T64" s="395">
        <f t="shared" si="2"/>
        <v>0</v>
      </c>
    </row>
    <row r="65" spans="1:20" ht="15" customHeight="1">
      <c r="A65" s="9" t="s">
        <v>717</v>
      </c>
      <c r="B65" s="395">
        <v>0</v>
      </c>
      <c r="C65" s="395"/>
      <c r="D65" s="395">
        <v>0</v>
      </c>
      <c r="E65" s="395"/>
      <c r="F65" s="395">
        <v>0</v>
      </c>
      <c r="G65" s="395"/>
      <c r="H65" s="395">
        <v>0</v>
      </c>
      <c r="I65" s="395"/>
      <c r="J65" s="395">
        <v>0</v>
      </c>
      <c r="K65" s="395"/>
      <c r="L65" s="395">
        <v>0</v>
      </c>
      <c r="M65" s="399"/>
      <c r="N65" s="395">
        <v>0</v>
      </c>
      <c r="O65" s="395"/>
      <c r="P65" s="395">
        <v>0</v>
      </c>
      <c r="Q65" s="395"/>
      <c r="R65" s="395">
        <v>0</v>
      </c>
      <c r="S65" s="395"/>
      <c r="T65" s="395">
        <f t="shared" si="2"/>
        <v>0</v>
      </c>
    </row>
    <row r="66" spans="1:20" ht="15" customHeight="1">
      <c r="A66" s="9" t="s">
        <v>731</v>
      </c>
      <c r="B66" s="395">
        <v>0</v>
      </c>
      <c r="C66" s="395"/>
      <c r="D66" s="395">
        <v>0</v>
      </c>
      <c r="E66" s="395"/>
      <c r="F66" s="395">
        <v>0</v>
      </c>
      <c r="G66" s="395"/>
      <c r="H66" s="395">
        <v>0</v>
      </c>
      <c r="I66" s="395"/>
      <c r="J66" s="395">
        <v>0</v>
      </c>
      <c r="K66" s="395"/>
      <c r="L66" s="395">
        <v>0</v>
      </c>
      <c r="M66" s="395"/>
      <c r="N66" s="395">
        <v>0</v>
      </c>
      <c r="O66" s="395"/>
      <c r="P66" s="395">
        <v>0</v>
      </c>
      <c r="Q66" s="395"/>
      <c r="R66" s="395">
        <v>0</v>
      </c>
      <c r="S66" s="395"/>
      <c r="T66" s="395">
        <f t="shared" si="2"/>
        <v>0</v>
      </c>
    </row>
    <row r="67" spans="1:20" ht="15" customHeight="1">
      <c r="A67" s="9" t="s">
        <v>712</v>
      </c>
      <c r="B67" s="395">
        <v>0</v>
      </c>
      <c r="C67" s="395"/>
      <c r="D67" s="395">
        <f>-'Sch 4 - 12 Months'!O64</f>
        <v>-8936.41</v>
      </c>
      <c r="E67" s="395" t="s">
        <v>346</v>
      </c>
      <c r="F67" s="395">
        <v>0</v>
      </c>
      <c r="G67" s="395"/>
      <c r="H67" s="395">
        <v>0</v>
      </c>
      <c r="I67" s="395"/>
      <c r="J67" s="395">
        <v>0</v>
      </c>
      <c r="K67" s="395"/>
      <c r="L67" s="395">
        <v>0</v>
      </c>
      <c r="M67" s="395"/>
      <c r="N67" s="395">
        <v>0</v>
      </c>
      <c r="O67" s="395"/>
      <c r="P67" s="395">
        <v>0</v>
      </c>
      <c r="Q67" s="395"/>
      <c r="R67" s="395">
        <v>0</v>
      </c>
      <c r="S67" s="395"/>
      <c r="T67" s="395">
        <f t="shared" si="2"/>
        <v>-8936.41</v>
      </c>
    </row>
    <row r="68" spans="1:20" ht="15" customHeight="1">
      <c r="A68" s="9" t="s">
        <v>728</v>
      </c>
      <c r="B68" s="395">
        <v>0</v>
      </c>
      <c r="C68" s="395"/>
      <c r="D68" s="395">
        <v>0</v>
      </c>
      <c r="E68" s="395"/>
      <c r="F68" s="395">
        <v>0</v>
      </c>
      <c r="G68" s="395"/>
      <c r="H68" s="395">
        <v>0</v>
      </c>
      <c r="I68" s="395"/>
      <c r="J68" s="395">
        <v>0</v>
      </c>
      <c r="K68" s="395"/>
      <c r="L68" s="395">
        <v>0</v>
      </c>
      <c r="M68" s="399"/>
      <c r="N68" s="395">
        <v>0</v>
      </c>
      <c r="O68" s="395"/>
      <c r="P68" s="395">
        <v>0</v>
      </c>
      <c r="Q68" s="395"/>
      <c r="R68" s="395">
        <v>0</v>
      </c>
      <c r="S68" s="395"/>
      <c r="T68" s="395">
        <f t="shared" si="2"/>
        <v>0</v>
      </c>
    </row>
    <row r="69" spans="1:20" ht="15" customHeight="1">
      <c r="A69" s="9" t="s">
        <v>30</v>
      </c>
      <c r="B69" s="395">
        <v>0</v>
      </c>
      <c r="C69" s="395"/>
      <c r="D69" s="395">
        <v>0</v>
      </c>
      <c r="E69" s="395"/>
      <c r="F69" s="395">
        <v>0</v>
      </c>
      <c r="G69" s="395"/>
      <c r="H69" s="395">
        <v>0</v>
      </c>
      <c r="I69" s="395"/>
      <c r="J69" s="395">
        <v>0</v>
      </c>
      <c r="K69" s="395"/>
      <c r="L69" s="395">
        <v>0</v>
      </c>
      <c r="M69" s="399"/>
      <c r="N69" s="395">
        <v>0</v>
      </c>
      <c r="O69" s="395"/>
      <c r="P69" s="395">
        <v>0</v>
      </c>
      <c r="Q69" s="395"/>
      <c r="R69" s="395">
        <v>0</v>
      </c>
      <c r="S69" s="395"/>
      <c r="T69" s="395">
        <f t="shared" si="2"/>
        <v>0</v>
      </c>
    </row>
    <row r="70" spans="1:20" ht="15" customHeight="1">
      <c r="A70" s="9" t="s">
        <v>93</v>
      </c>
      <c r="B70" s="395">
        <v>0</v>
      </c>
      <c r="C70" s="395"/>
      <c r="D70" s="395">
        <v>0</v>
      </c>
      <c r="E70" s="395"/>
      <c r="F70" s="395">
        <v>0</v>
      </c>
      <c r="G70" s="395"/>
      <c r="H70" s="395">
        <f>-'Sch 4 - 12 Months'!O67</f>
        <v>-187892.43999999997</v>
      </c>
      <c r="I70" s="395" t="s">
        <v>346</v>
      </c>
      <c r="J70" s="395">
        <v>0</v>
      </c>
      <c r="K70" s="395"/>
      <c r="L70" s="395">
        <v>0</v>
      </c>
      <c r="M70" s="399"/>
      <c r="N70" s="395">
        <v>0</v>
      </c>
      <c r="O70" s="395"/>
      <c r="P70" s="395">
        <v>0</v>
      </c>
      <c r="Q70" s="395"/>
      <c r="R70" s="395">
        <v>0</v>
      </c>
      <c r="S70" s="395"/>
      <c r="T70" s="395">
        <f t="shared" si="2"/>
        <v>-187892.43999999997</v>
      </c>
    </row>
    <row r="71" spans="1:20" ht="15" customHeight="1">
      <c r="A71" s="9" t="s">
        <v>40</v>
      </c>
      <c r="B71" s="395">
        <f>+'WP-1 - Summary Depr'!H27</f>
        <v>41636.017060331535</v>
      </c>
      <c r="C71" s="395" t="s">
        <v>346</v>
      </c>
      <c r="D71" s="395">
        <v>0</v>
      </c>
      <c r="E71" s="395"/>
      <c r="F71" s="395">
        <v>0</v>
      </c>
      <c r="G71" s="395"/>
      <c r="H71" s="395">
        <v>0</v>
      </c>
      <c r="I71" s="395"/>
      <c r="J71" s="395">
        <v>0</v>
      </c>
      <c r="K71" s="395"/>
      <c r="L71" s="395">
        <v>0</v>
      </c>
      <c r="M71" s="399"/>
      <c r="N71" s="395">
        <v>0</v>
      </c>
      <c r="O71" s="395"/>
      <c r="P71" s="395">
        <v>0</v>
      </c>
      <c r="Q71" s="395"/>
      <c r="R71" s="395">
        <v>0</v>
      </c>
      <c r="S71" s="395"/>
      <c r="T71" s="395">
        <f t="shared" si="2"/>
        <v>41636.017060331535</v>
      </c>
    </row>
    <row r="72" spans="1:20" ht="15" customHeight="1">
      <c r="A72" s="9" t="s">
        <v>413</v>
      </c>
      <c r="B72" s="395">
        <v>0</v>
      </c>
      <c r="C72" s="395"/>
      <c r="D72" s="395">
        <v>0</v>
      </c>
      <c r="E72" s="395"/>
      <c r="F72" s="395">
        <v>0</v>
      </c>
      <c r="G72" s="395"/>
      <c r="H72" s="395">
        <v>0</v>
      </c>
      <c r="I72" s="395"/>
      <c r="J72" s="395">
        <v>0</v>
      </c>
      <c r="K72" s="395"/>
      <c r="L72" s="395">
        <v>0</v>
      </c>
      <c r="M72" s="399"/>
      <c r="N72" s="395">
        <v>0</v>
      </c>
      <c r="O72" s="395"/>
      <c r="P72" s="395">
        <v>0</v>
      </c>
      <c r="Q72" s="395"/>
      <c r="R72" s="395">
        <v>0</v>
      </c>
      <c r="S72" s="395"/>
      <c r="T72" s="395">
        <f t="shared" si="2"/>
        <v>0</v>
      </c>
    </row>
    <row r="73" spans="1:20" ht="15" customHeight="1">
      <c r="A73" s="390"/>
      <c r="B73" s="401">
        <f>SUM(B31:B72)</f>
        <v>41636.017060331535</v>
      </c>
      <c r="C73" s="395"/>
      <c r="D73" s="401">
        <f>SUM(D31:D72)</f>
        <v>-12261.41</v>
      </c>
      <c r="E73" s="395"/>
      <c r="F73" s="401">
        <f>SUM(F31:F72)</f>
        <v>0</v>
      </c>
      <c r="G73" s="395"/>
      <c r="H73" s="401">
        <f>SUM(H31:H72)</f>
        <v>-187892.43999999997</v>
      </c>
      <c r="I73" s="395"/>
      <c r="J73" s="401">
        <f>SUM(J31:J72)</f>
        <v>-5462.9241992225043</v>
      </c>
      <c r="K73" s="395"/>
      <c r="L73" s="401">
        <f>SUM(L31:L72)</f>
        <v>-28600</v>
      </c>
      <c r="M73" s="395"/>
      <c r="N73" s="401">
        <f>SUM(N31:N72)</f>
        <v>10607.474598357574</v>
      </c>
      <c r="O73" s="395"/>
      <c r="P73" s="401">
        <f>SUM(P31:P72)</f>
        <v>-8951.5226212477919</v>
      </c>
      <c r="Q73" s="395"/>
      <c r="R73" s="401">
        <f>SUM(R31:R72)</f>
        <v>0</v>
      </c>
      <c r="S73" s="395"/>
      <c r="T73" s="401">
        <f>SUM(T31:T72)</f>
        <v>-190924.80516178114</v>
      </c>
    </row>
    <row r="74" spans="1:20" ht="15" customHeight="1">
      <c r="A74" s="390"/>
      <c r="B74" s="395"/>
      <c r="C74" s="395"/>
      <c r="D74" s="395"/>
      <c r="E74" s="395"/>
      <c r="F74" s="395"/>
      <c r="G74" s="395"/>
      <c r="H74" s="395"/>
      <c r="I74" s="395"/>
      <c r="J74" s="395"/>
      <c r="K74" s="395"/>
      <c r="L74" s="395"/>
      <c r="M74" s="395"/>
      <c r="N74" s="395"/>
      <c r="O74" s="395"/>
      <c r="P74" s="395"/>
      <c r="Q74" s="395"/>
      <c r="R74" s="395"/>
      <c r="S74" s="395"/>
      <c r="T74" s="395"/>
    </row>
    <row r="75" spans="1:20" ht="15" customHeight="1" thickBot="1">
      <c r="A75" s="390" t="s">
        <v>38</v>
      </c>
      <c r="B75" s="402">
        <f>+B28-B73</f>
        <v>-41636.017060331535</v>
      </c>
      <c r="C75" s="395"/>
      <c r="D75" s="402">
        <f>+D28-D73</f>
        <v>12261.41</v>
      </c>
      <c r="E75" s="395"/>
      <c r="F75" s="402">
        <f>+F28-F73</f>
        <v>-4522.833333333333</v>
      </c>
      <c r="G75" s="395"/>
      <c r="H75" s="402">
        <f>+H28-H73</f>
        <v>187892.43999999997</v>
      </c>
      <c r="I75" s="395"/>
      <c r="J75" s="402">
        <f>+J28-J73</f>
        <v>5462.9241992225043</v>
      </c>
      <c r="K75" s="395"/>
      <c r="L75" s="402">
        <f>+L28-L73</f>
        <v>28600</v>
      </c>
      <c r="M75" s="395"/>
      <c r="N75" s="402">
        <f>+N28-N73</f>
        <v>-10607.474598357574</v>
      </c>
      <c r="O75" s="395"/>
      <c r="P75" s="402">
        <f>+P28-P73</f>
        <v>8951.5226212477919</v>
      </c>
      <c r="Q75" s="395"/>
      <c r="R75" s="402">
        <f>+R28-R73</f>
        <v>288724.91008752747</v>
      </c>
      <c r="S75" s="395"/>
      <c r="T75" s="402">
        <f>+T28-T73</f>
        <v>475126.88191597525</v>
      </c>
    </row>
    <row r="76" spans="1:20" ht="15" customHeight="1" thickTop="1">
      <c r="A76" s="390"/>
      <c r="B76" s="395"/>
      <c r="C76" s="395"/>
      <c r="D76" s="395"/>
      <c r="E76" s="395"/>
      <c r="F76" s="395"/>
      <c r="G76" s="395"/>
      <c r="H76" s="395"/>
      <c r="I76" s="395"/>
      <c r="J76" s="395"/>
      <c r="K76" s="395"/>
      <c r="L76" s="395"/>
      <c r="M76" s="395"/>
      <c r="N76" s="395"/>
      <c r="O76" s="395"/>
      <c r="P76" s="395"/>
      <c r="Q76" s="395"/>
      <c r="R76" s="395"/>
      <c r="S76" s="395"/>
      <c r="T76" s="395"/>
    </row>
    <row r="77" spans="1:20" ht="15" customHeight="1">
      <c r="J77" s="39"/>
      <c r="N77" s="39"/>
    </row>
    <row r="78" spans="1:20" ht="15" customHeight="1">
      <c r="T78" s="395"/>
    </row>
    <row r="79" spans="1:20" ht="15" customHeight="1"/>
    <row r="80" spans="1:20" ht="15" customHeight="1"/>
    <row r="81" ht="15" customHeight="1"/>
    <row r="82" ht="15" customHeight="1"/>
    <row r="83" ht="15" customHeight="1"/>
    <row r="84" ht="15" customHeight="1"/>
    <row r="85" ht="15" customHeight="1"/>
  </sheetData>
  <mergeCells count="4">
    <mergeCell ref="A1:T1"/>
    <mergeCell ref="A5:T5"/>
    <mergeCell ref="A3:T3"/>
    <mergeCell ref="A6:T6"/>
  </mergeCells>
  <phoneticPr fontId="14" type="noConversion"/>
  <printOptions horizontalCentered="1"/>
  <pageMargins left="0.25" right="0.25" top="0.75" bottom="0.5" header="0" footer="0.25"/>
  <pageSetup scale="58" fitToWidth="0" fitToHeight="0" orientation="landscape" horizontalDpi="300" verticalDpi="300" r:id="rId1"/>
  <headerFooter scaleWithDoc="0" alignWithMargins="0">
    <oddFooter xml:space="preserve">&amp;C&amp;"Times New Roman,Regular"&amp;10See accompanying summary of significant forecast assumptions. &amp;"Arial,Regular"&amp;9
</oddFooter>
  </headerFooter>
  <rowBreaks count="1" manualBreakCount="1">
    <brk id="29"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J35"/>
  <sheetViews>
    <sheetView zoomScaleNormal="100" workbookViewId="0">
      <selection sqref="A1:I1"/>
    </sheetView>
  </sheetViews>
  <sheetFormatPr defaultColWidth="8" defaultRowHeight="15.75"/>
  <cols>
    <col min="1" max="1" width="5.88671875" style="385" customWidth="1"/>
    <col min="2" max="2" width="18.44140625" style="385" customWidth="1"/>
    <col min="3" max="4" width="10.21875" style="385" customWidth="1"/>
    <col min="5" max="6" width="7.88671875" style="385" customWidth="1"/>
    <col min="7" max="7" width="4.109375" style="385" customWidth="1"/>
    <col min="8" max="8" width="3.5546875" style="385" customWidth="1"/>
    <col min="9" max="9" width="7.77734375" style="385" customWidth="1"/>
    <col min="10" max="16384" width="8" style="385"/>
  </cols>
  <sheetData>
    <row r="1" spans="1:10" ht="16.5" customHeight="1">
      <c r="A1" s="944" t="str">
        <f>+Operations!B1</f>
        <v>Consolidated Disposal Services, Inc.</v>
      </c>
      <c r="B1" s="945"/>
      <c r="C1" s="945"/>
      <c r="D1" s="945"/>
      <c r="E1" s="945"/>
      <c r="F1" s="945"/>
      <c r="G1" s="945"/>
      <c r="H1" s="945"/>
      <c r="I1" s="945"/>
    </row>
    <row r="2" spans="1:10" ht="13.5" customHeight="1">
      <c r="A2" s="945"/>
      <c r="B2" s="945"/>
      <c r="C2" s="945"/>
      <c r="D2" s="945"/>
      <c r="E2" s="945"/>
      <c r="F2" s="945"/>
      <c r="G2" s="945"/>
      <c r="H2" s="945"/>
      <c r="I2" s="945"/>
    </row>
    <row r="3" spans="1:10" ht="16.5">
      <c r="A3" s="945" t="s">
        <v>99</v>
      </c>
      <c r="B3" s="945"/>
      <c r="C3" s="945"/>
      <c r="D3" s="945"/>
      <c r="E3" s="945"/>
      <c r="F3" s="945"/>
      <c r="G3" s="945"/>
      <c r="H3" s="945"/>
      <c r="I3" s="945"/>
    </row>
    <row r="4" spans="1:10" ht="15.75" customHeight="1">
      <c r="A4" s="403"/>
      <c r="B4" s="403"/>
      <c r="C4" s="403"/>
      <c r="D4" s="403"/>
      <c r="E4" s="403"/>
      <c r="F4" s="403"/>
      <c r="G4" s="403"/>
      <c r="H4" s="403"/>
      <c r="I4" s="403"/>
    </row>
    <row r="5" spans="1:10" ht="15.75" customHeight="1">
      <c r="A5" s="946" t="str">
        <f>'Fly Sheet'!$A$20</f>
        <v>For the Twelve Months Ended December 31, 2023 Historical and March 31, 2026 Forecasted</v>
      </c>
      <c r="B5" s="947"/>
      <c r="C5" s="947"/>
      <c r="D5" s="947"/>
      <c r="E5" s="947"/>
      <c r="F5" s="947"/>
      <c r="G5" s="947"/>
      <c r="H5" s="947"/>
      <c r="I5" s="947"/>
    </row>
    <row r="6" spans="1:10" ht="15.75" customHeight="1">
      <c r="A6" s="946"/>
      <c r="B6" s="947"/>
      <c r="C6" s="947"/>
      <c r="D6" s="947"/>
      <c r="E6" s="947"/>
      <c r="F6" s="947"/>
      <c r="G6" s="947"/>
      <c r="H6" s="947"/>
      <c r="I6" s="947"/>
    </row>
    <row r="7" spans="1:10" ht="15.75" customHeight="1">
      <c r="A7" s="389" t="s">
        <v>25</v>
      </c>
      <c r="B7" s="404"/>
      <c r="C7" s="404"/>
      <c r="D7" s="404"/>
      <c r="E7" s="404"/>
      <c r="F7" s="404"/>
      <c r="G7" s="404"/>
      <c r="H7" s="404"/>
      <c r="I7" s="404"/>
    </row>
    <row r="8" spans="1:10" ht="21" customHeight="1">
      <c r="A8" s="405" t="s">
        <v>201</v>
      </c>
      <c r="B8" s="943" t="s">
        <v>769</v>
      </c>
      <c r="C8" s="948"/>
      <c r="D8" s="948"/>
      <c r="E8" s="948"/>
      <c r="F8" s="948"/>
      <c r="G8" s="948"/>
      <c r="H8" s="948"/>
      <c r="I8" s="948"/>
    </row>
    <row r="9" spans="1:10" ht="35.1" customHeight="1">
      <c r="A9" s="405" t="s">
        <v>50</v>
      </c>
      <c r="B9" s="941" t="s">
        <v>1375</v>
      </c>
      <c r="C9" s="941"/>
      <c r="D9" s="941"/>
      <c r="E9" s="941"/>
      <c r="F9" s="941"/>
      <c r="G9" s="941"/>
      <c r="H9" s="941"/>
      <c r="I9" s="941"/>
    </row>
    <row r="10" spans="1:10" ht="36.6" customHeight="1">
      <c r="A10" s="405" t="s">
        <v>51</v>
      </c>
      <c r="B10" s="943" t="s">
        <v>1011</v>
      </c>
      <c r="C10" s="943"/>
      <c r="D10" s="943"/>
      <c r="E10" s="943"/>
      <c r="F10" s="943"/>
      <c r="G10" s="943"/>
      <c r="H10" s="943"/>
      <c r="I10" s="943"/>
    </row>
    <row r="11" spans="1:10" ht="24" customHeight="1">
      <c r="A11" s="405" t="s">
        <v>52</v>
      </c>
      <c r="B11" s="942"/>
      <c r="C11" s="942"/>
      <c r="D11" s="942"/>
      <c r="E11" s="942"/>
      <c r="F11" s="942"/>
      <c r="G11" s="942"/>
      <c r="H11" s="942"/>
      <c r="I11" s="942"/>
    </row>
    <row r="12" spans="1:10" ht="33.6" customHeight="1">
      <c r="A12" s="405" t="s">
        <v>53</v>
      </c>
      <c r="B12" s="941" t="s">
        <v>948</v>
      </c>
      <c r="C12" s="941"/>
      <c r="D12" s="941"/>
      <c r="E12" s="941"/>
      <c r="F12" s="941"/>
      <c r="G12" s="941"/>
      <c r="H12" s="941"/>
      <c r="I12" s="941"/>
    </row>
    <row r="13" spans="1:10">
      <c r="A13" s="406"/>
      <c r="B13" s="407"/>
      <c r="C13" s="407"/>
      <c r="D13" s="407"/>
      <c r="E13" s="407"/>
      <c r="F13" s="407"/>
      <c r="G13" s="407"/>
      <c r="H13" s="407"/>
      <c r="I13" s="407"/>
    </row>
    <row r="14" spans="1:10" ht="18" customHeight="1">
      <c r="A14" s="406" t="s">
        <v>1035</v>
      </c>
      <c r="B14" s="407" t="s">
        <v>1038</v>
      </c>
      <c r="C14" s="407"/>
      <c r="D14" s="407"/>
      <c r="E14" s="407"/>
      <c r="F14" s="407"/>
      <c r="G14" s="406"/>
      <c r="H14" s="406"/>
      <c r="I14" s="406"/>
    </row>
    <row r="15" spans="1:10">
      <c r="B15" s="389"/>
      <c r="C15" s="408"/>
      <c r="J15" s="400"/>
    </row>
    <row r="16" spans="1:10">
      <c r="C16" s="409"/>
      <c r="D16" s="408"/>
      <c r="E16" s="369"/>
    </row>
    <row r="17" spans="1:5">
      <c r="A17" s="410"/>
    </row>
    <row r="18" spans="1:5">
      <c r="A18" s="410"/>
      <c r="B18" s="389"/>
    </row>
    <row r="19" spans="1:5">
      <c r="A19" s="410"/>
      <c r="C19" s="411"/>
      <c r="D19" s="411"/>
      <c r="E19" s="411"/>
    </row>
    <row r="20" spans="1:5">
      <c r="A20" s="410"/>
      <c r="C20" s="412"/>
      <c r="D20" s="412"/>
      <c r="E20" s="408"/>
    </row>
    <row r="21" spans="1:5">
      <c r="A21" s="410"/>
      <c r="C21" s="408"/>
      <c r="D21" s="408"/>
      <c r="E21" s="408"/>
    </row>
    <row r="22" spans="1:5">
      <c r="A22" s="410"/>
      <c r="B22" s="389"/>
      <c r="C22" s="413"/>
      <c r="D22" s="414"/>
      <c r="E22" s="369"/>
    </row>
    <row r="23" spans="1:5">
      <c r="A23" s="410"/>
    </row>
    <row r="24" spans="1:5">
      <c r="A24" s="410"/>
      <c r="B24" s="389"/>
    </row>
    <row r="25" spans="1:5">
      <c r="A25" s="410"/>
      <c r="C25" s="412"/>
    </row>
    <row r="26" spans="1:5">
      <c r="A26" s="410"/>
      <c r="C26" s="412"/>
    </row>
    <row r="27" spans="1:5">
      <c r="A27" s="410"/>
      <c r="C27" s="412"/>
    </row>
    <row r="28" spans="1:5">
      <c r="A28" s="410"/>
      <c r="C28" s="412"/>
    </row>
    <row r="29" spans="1:5">
      <c r="A29" s="410"/>
      <c r="B29" s="389"/>
      <c r="C29" s="415"/>
      <c r="D29" s="400"/>
    </row>
    <row r="30" spans="1:5">
      <c r="A30" s="410"/>
    </row>
    <row r="31" spans="1:5">
      <c r="A31" s="410"/>
    </row>
    <row r="35" spans="3:3">
      <c r="C35" s="408"/>
    </row>
  </sheetData>
  <mergeCells count="10">
    <mergeCell ref="B12:I12"/>
    <mergeCell ref="B11:I11"/>
    <mergeCell ref="B10:I10"/>
    <mergeCell ref="A1:I1"/>
    <mergeCell ref="A3:I3"/>
    <mergeCell ref="A5:I5"/>
    <mergeCell ref="A6:I6"/>
    <mergeCell ref="A2:I2"/>
    <mergeCell ref="B8:I8"/>
    <mergeCell ref="B9:I9"/>
  </mergeCells>
  <phoneticPr fontId="14" type="noConversion"/>
  <printOptions horizontalCentered="1"/>
  <pageMargins left="0.9" right="0.7" top="0.75" bottom="0.5" header="0" footer="0.25"/>
  <pageSetup scale="97" fitToHeight="0" orientation="portrait" horizontalDpi="300" verticalDpi="300" r:id="rId1"/>
  <headerFooter scaleWithDoc="0" alignWithMargins="0">
    <oddFooter xml:space="preserve">&amp;C&amp;"Times New Roman,Regular"&amp;10See accompanying summary of significant forecast assumptions.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S157"/>
  <sheetViews>
    <sheetView zoomScale="55" zoomScaleNormal="55" workbookViewId="0">
      <selection sqref="A1:N1"/>
    </sheetView>
  </sheetViews>
  <sheetFormatPr defaultColWidth="8" defaultRowHeight="15.75"/>
  <cols>
    <col min="1" max="1" width="27.88671875" style="387" customWidth="1"/>
    <col min="2" max="2" width="10.88671875" style="387" customWidth="1"/>
    <col min="3" max="3" width="2.44140625" style="387" customWidth="1"/>
    <col min="4" max="4" width="10.88671875" style="387" customWidth="1"/>
    <col min="5" max="5" width="2.44140625" style="387" customWidth="1"/>
    <col min="6" max="6" width="10.88671875" style="387" customWidth="1"/>
    <col min="7" max="7" width="2.44140625" style="387" customWidth="1"/>
    <col min="8" max="8" width="10.88671875" style="387" customWidth="1"/>
    <col min="9" max="9" width="2.44140625" style="387" customWidth="1"/>
    <col min="10" max="10" width="10.88671875" style="387" customWidth="1"/>
    <col min="11" max="11" width="2.44140625" style="387" customWidth="1"/>
    <col min="12" max="12" width="11.5546875" style="387" customWidth="1"/>
    <col min="13" max="13" width="2.44140625" style="387" customWidth="1"/>
    <col min="14" max="14" width="10.88671875" style="387" customWidth="1"/>
    <col min="15" max="15" width="4.21875" style="385" customWidth="1"/>
    <col min="16" max="16" width="8" style="385" customWidth="1"/>
    <col min="17" max="17" width="2.88671875" style="385" customWidth="1"/>
    <col min="18" max="18" width="12.44140625" style="385" customWidth="1"/>
    <col min="19" max="16384" width="8" style="385"/>
  </cols>
  <sheetData>
    <row r="1" spans="1:16" ht="16.5" customHeight="1">
      <c r="A1" s="940" t="str">
        <f>+'Fly Sheet'!A15:H15</f>
        <v>Consolidated Disposal Services, Inc.</v>
      </c>
      <c r="B1" s="940"/>
      <c r="C1" s="940"/>
      <c r="D1" s="940"/>
      <c r="E1" s="940"/>
      <c r="F1" s="940"/>
      <c r="G1" s="940"/>
      <c r="H1" s="940"/>
      <c r="I1" s="940"/>
      <c r="J1" s="940"/>
      <c r="K1" s="940"/>
      <c r="L1" s="940"/>
      <c r="M1" s="940"/>
      <c r="N1" s="940"/>
      <c r="O1" s="388" t="s">
        <v>189</v>
      </c>
      <c r="P1" s="389" t="s">
        <v>219</v>
      </c>
    </row>
    <row r="2" spans="1:16" ht="13.5" customHeight="1">
      <c r="A2" s="386"/>
      <c r="O2" s="388" t="s">
        <v>190</v>
      </c>
      <c r="P2" s="389" t="s">
        <v>194</v>
      </c>
    </row>
    <row r="3" spans="1:16" ht="16.5" customHeight="1">
      <c r="A3" s="940" t="s">
        <v>109</v>
      </c>
      <c r="B3" s="940"/>
      <c r="C3" s="940"/>
      <c r="D3" s="940"/>
      <c r="E3" s="940"/>
      <c r="F3" s="940"/>
      <c r="G3" s="940"/>
      <c r="H3" s="940"/>
      <c r="I3" s="940"/>
      <c r="J3" s="940"/>
      <c r="K3" s="940"/>
      <c r="L3" s="940"/>
      <c r="M3" s="940"/>
      <c r="N3" s="940"/>
      <c r="O3" s="388" t="s">
        <v>191</v>
      </c>
      <c r="P3" s="389" t="s">
        <v>220</v>
      </c>
    </row>
    <row r="4" spans="1:16">
      <c r="A4" s="384"/>
      <c r="B4" s="384"/>
      <c r="C4" s="384"/>
      <c r="D4" s="384"/>
      <c r="E4" s="384"/>
      <c r="F4" s="384"/>
      <c r="G4" s="384"/>
      <c r="H4" s="384"/>
      <c r="I4" s="384"/>
      <c r="J4" s="384"/>
      <c r="K4" s="384"/>
      <c r="L4" s="384"/>
      <c r="M4" s="384"/>
      <c r="N4" s="384"/>
      <c r="O4" s="388" t="s">
        <v>192</v>
      </c>
      <c r="P4" s="389" t="s">
        <v>193</v>
      </c>
    </row>
    <row r="5" spans="1:16">
      <c r="A5" s="940" t="str">
        <f>'Fly Sheet'!$A$20</f>
        <v>For the Twelve Months Ended December 31, 2023 Historical and March 31, 2026 Forecasted</v>
      </c>
      <c r="B5" s="940"/>
      <c r="C5" s="940"/>
      <c r="D5" s="940"/>
      <c r="E5" s="940"/>
      <c r="F5" s="940"/>
      <c r="G5" s="940"/>
      <c r="H5" s="940"/>
      <c r="I5" s="940"/>
      <c r="J5" s="940"/>
      <c r="K5" s="940"/>
      <c r="L5" s="940"/>
      <c r="M5" s="940"/>
      <c r="N5" s="940"/>
    </row>
    <row r="6" spans="1:16">
      <c r="A6" s="940"/>
      <c r="B6" s="940"/>
      <c r="C6" s="940"/>
      <c r="D6" s="940"/>
      <c r="E6" s="940"/>
      <c r="F6" s="940"/>
      <c r="G6" s="940"/>
      <c r="H6" s="940"/>
      <c r="I6" s="940"/>
      <c r="J6" s="940"/>
      <c r="K6" s="940"/>
      <c r="L6" s="940"/>
      <c r="M6" s="940"/>
      <c r="N6" s="940"/>
    </row>
    <row r="7" spans="1:16">
      <c r="A7" s="386"/>
    </row>
    <row r="8" spans="1:16" ht="12.95" customHeight="1">
      <c r="A8" s="390"/>
      <c r="B8" s="391" t="s">
        <v>74</v>
      </c>
      <c r="C8" s="391"/>
      <c r="D8" s="391" t="s">
        <v>50</v>
      </c>
      <c r="E8" s="391"/>
      <c r="F8" s="391" t="s">
        <v>51</v>
      </c>
      <c r="G8" s="391"/>
      <c r="H8" s="391" t="s">
        <v>52</v>
      </c>
      <c r="I8" s="391"/>
      <c r="J8" s="391" t="s">
        <v>53</v>
      </c>
      <c r="K8" s="391"/>
      <c r="L8" s="391" t="s">
        <v>1035</v>
      </c>
      <c r="M8" s="391"/>
      <c r="N8" s="392" t="s">
        <v>5</v>
      </c>
    </row>
    <row r="9" spans="1:16" ht="12.95" customHeight="1">
      <c r="A9" s="390"/>
      <c r="B9" s="417" t="s">
        <v>768</v>
      </c>
      <c r="C9" s="416"/>
      <c r="D9" s="391"/>
      <c r="E9" s="391"/>
      <c r="F9" s="609" t="s">
        <v>7</v>
      </c>
      <c r="G9" s="416"/>
      <c r="H9" s="391"/>
      <c r="I9" s="416"/>
      <c r="J9" s="391" t="s">
        <v>40</v>
      </c>
      <c r="K9" s="391"/>
      <c r="L9" s="391" t="s">
        <v>1036</v>
      </c>
      <c r="M9" s="391"/>
      <c r="N9" s="391" t="s">
        <v>0</v>
      </c>
    </row>
    <row r="10" spans="1:16" ht="12.95" customHeight="1">
      <c r="A10" s="390"/>
      <c r="B10" s="391" t="s">
        <v>114</v>
      </c>
      <c r="C10" s="392"/>
      <c r="D10" s="391" t="s">
        <v>16</v>
      </c>
      <c r="E10" s="391"/>
      <c r="F10" s="391" t="s">
        <v>947</v>
      </c>
      <c r="G10" s="391"/>
      <c r="H10" s="391"/>
      <c r="I10" s="391"/>
      <c r="J10" s="417" t="s">
        <v>949</v>
      </c>
      <c r="K10" s="417"/>
      <c r="L10" s="417" t="s">
        <v>949</v>
      </c>
      <c r="M10" s="417"/>
      <c r="N10" s="391" t="s">
        <v>22</v>
      </c>
    </row>
    <row r="11" spans="1:16" ht="12.95" customHeight="1">
      <c r="A11" s="390"/>
      <c r="B11" s="393" t="s">
        <v>754</v>
      </c>
      <c r="C11" s="391"/>
      <c r="D11" s="393" t="s">
        <v>761</v>
      </c>
      <c r="E11" s="391"/>
      <c r="F11" s="393" t="s">
        <v>946</v>
      </c>
      <c r="G11" s="391"/>
      <c r="H11" s="640"/>
      <c r="I11" s="391"/>
      <c r="J11" s="393" t="s">
        <v>30</v>
      </c>
      <c r="K11" s="391"/>
      <c r="L11" s="393" t="s">
        <v>1037</v>
      </c>
      <c r="M11" s="391"/>
      <c r="N11" s="393" t="s">
        <v>25</v>
      </c>
    </row>
    <row r="12" spans="1:16" ht="15" customHeight="1">
      <c r="A12" s="454" t="str">
        <f>+'Sch 1, pg 2 - Restated'!A12</f>
        <v>REVENUES</v>
      </c>
      <c r="B12" s="390"/>
      <c r="C12" s="390"/>
      <c r="D12" s="390"/>
      <c r="E12" s="390"/>
      <c r="F12" s="390"/>
      <c r="G12" s="390"/>
      <c r="H12" s="390"/>
      <c r="I12" s="390"/>
      <c r="J12" s="390"/>
      <c r="K12" s="390"/>
      <c r="L12" s="390"/>
      <c r="M12" s="390"/>
      <c r="N12" s="390"/>
    </row>
    <row r="13" spans="1:16" ht="15" customHeight="1">
      <c r="A13" s="9" t="s">
        <v>732</v>
      </c>
      <c r="B13" s="394">
        <v>0</v>
      </c>
      <c r="C13" s="394"/>
      <c r="D13" s="394">
        <v>0</v>
      </c>
      <c r="E13" s="394"/>
      <c r="F13" s="394">
        <v>0</v>
      </c>
      <c r="G13" s="394"/>
      <c r="H13" s="394">
        <v>0</v>
      </c>
      <c r="I13" s="394"/>
      <c r="J13" s="394">
        <v>0</v>
      </c>
      <c r="K13" s="394"/>
      <c r="L13" s="394">
        <v>0</v>
      </c>
      <c r="M13" s="394"/>
      <c r="N13" s="394">
        <f t="shared" ref="N13:N27" si="0">SUM(B13:K13)</f>
        <v>0</v>
      </c>
    </row>
    <row r="14" spans="1:16" ht="15" customHeight="1">
      <c r="A14" s="9" t="s">
        <v>733</v>
      </c>
      <c r="B14" s="395">
        <v>0</v>
      </c>
      <c r="C14" s="395"/>
      <c r="D14" s="395">
        <v>0</v>
      </c>
      <c r="E14" s="395"/>
      <c r="F14" s="395">
        <v>0</v>
      </c>
      <c r="G14" s="395"/>
      <c r="H14" s="395">
        <v>0</v>
      </c>
      <c r="I14" s="395"/>
      <c r="J14" s="395">
        <v>0</v>
      </c>
      <c r="K14" s="395"/>
      <c r="L14" s="395">
        <v>0</v>
      </c>
      <c r="M14" s="395"/>
      <c r="N14" s="395">
        <f t="shared" si="0"/>
        <v>0</v>
      </c>
    </row>
    <row r="15" spans="1:16" ht="15" customHeight="1">
      <c r="A15" s="9" t="s">
        <v>734</v>
      </c>
      <c r="B15" s="395">
        <v>0</v>
      </c>
      <c r="C15" s="395"/>
      <c r="D15" s="395">
        <v>0</v>
      </c>
      <c r="E15" s="395"/>
      <c r="F15" s="395">
        <v>0</v>
      </c>
      <c r="G15" s="395"/>
      <c r="H15" s="395">
        <v>0</v>
      </c>
      <c r="I15" s="395"/>
      <c r="J15" s="395">
        <v>0</v>
      </c>
      <c r="K15" s="395"/>
      <c r="L15" s="395">
        <v>0</v>
      </c>
      <c r="M15" s="395"/>
      <c r="N15" s="395">
        <f t="shared" si="0"/>
        <v>0</v>
      </c>
    </row>
    <row r="16" spans="1:16" ht="15" customHeight="1">
      <c r="A16" s="9" t="s">
        <v>735</v>
      </c>
      <c r="B16" s="395">
        <v>0</v>
      </c>
      <c r="C16" s="395"/>
      <c r="D16" s="395">
        <v>0</v>
      </c>
      <c r="E16" s="395"/>
      <c r="F16" s="395">
        <v>0</v>
      </c>
      <c r="G16" s="395"/>
      <c r="H16" s="395">
        <v>0</v>
      </c>
      <c r="I16" s="395"/>
      <c r="J16" s="395">
        <v>0</v>
      </c>
      <c r="K16" s="395"/>
      <c r="L16" s="395">
        <v>0</v>
      </c>
      <c r="M16" s="395"/>
      <c r="N16" s="395">
        <f t="shared" si="0"/>
        <v>0</v>
      </c>
    </row>
    <row r="17" spans="1:19" ht="15" customHeight="1">
      <c r="A17" s="9" t="s">
        <v>736</v>
      </c>
      <c r="B17" s="395">
        <v>0</v>
      </c>
      <c r="C17" s="395"/>
      <c r="D17" s="395">
        <v>0</v>
      </c>
      <c r="E17" s="395"/>
      <c r="F17" s="395">
        <v>0</v>
      </c>
      <c r="G17" s="395"/>
      <c r="H17" s="395">
        <v>0</v>
      </c>
      <c r="I17" s="395"/>
      <c r="J17" s="395">
        <v>0</v>
      </c>
      <c r="K17" s="395"/>
      <c r="L17" s="395">
        <v>0</v>
      </c>
      <c r="M17" s="395"/>
      <c r="N17" s="395">
        <f t="shared" si="0"/>
        <v>0</v>
      </c>
    </row>
    <row r="18" spans="1:19" ht="15" customHeight="1">
      <c r="A18" s="9" t="s">
        <v>737</v>
      </c>
      <c r="B18" s="395">
        <v>0</v>
      </c>
      <c r="C18" s="395"/>
      <c r="D18" s="395">
        <v>0</v>
      </c>
      <c r="E18" s="395"/>
      <c r="F18" s="395">
        <v>0</v>
      </c>
      <c r="G18" s="395"/>
      <c r="H18" s="395">
        <v>0</v>
      </c>
      <c r="I18" s="395"/>
      <c r="J18" s="395">
        <v>0</v>
      </c>
      <c r="K18" s="399"/>
      <c r="L18" s="395">
        <v>0</v>
      </c>
      <c r="M18" s="399"/>
      <c r="N18" s="395">
        <f t="shared" si="0"/>
        <v>0</v>
      </c>
    </row>
    <row r="19" spans="1:19" ht="15" customHeight="1">
      <c r="A19" s="9" t="s">
        <v>738</v>
      </c>
      <c r="B19" s="395">
        <v>0</v>
      </c>
      <c r="C19" s="395"/>
      <c r="D19" s="395">
        <v>0</v>
      </c>
      <c r="E19" s="395"/>
      <c r="F19" s="395">
        <v>0</v>
      </c>
      <c r="G19" s="395"/>
      <c r="H19" s="395">
        <f>+'WP-9 - Disposal Fees'!C65</f>
        <v>0</v>
      </c>
      <c r="I19" s="395"/>
      <c r="J19" s="395">
        <v>0</v>
      </c>
      <c r="K19" s="395"/>
      <c r="L19" s="395">
        <v>0</v>
      </c>
      <c r="M19" s="395"/>
      <c r="N19" s="395">
        <f t="shared" si="0"/>
        <v>0</v>
      </c>
    </row>
    <row r="20" spans="1:19" ht="15" customHeight="1">
      <c r="A20" s="9" t="s">
        <v>739</v>
      </c>
      <c r="B20" s="395">
        <v>0</v>
      </c>
      <c r="C20" s="395"/>
      <c r="D20" s="395">
        <v>0</v>
      </c>
      <c r="E20" s="395"/>
      <c r="F20" s="395">
        <v>0</v>
      </c>
      <c r="G20" s="395"/>
      <c r="H20" s="395">
        <v>0</v>
      </c>
      <c r="I20" s="395"/>
      <c r="J20" s="395">
        <v>0</v>
      </c>
      <c r="K20" s="395"/>
      <c r="L20" s="395">
        <v>0</v>
      </c>
      <c r="M20" s="395"/>
      <c r="N20" s="395">
        <f t="shared" ref="N20:N22" si="1">SUM(B20:K20)</f>
        <v>0</v>
      </c>
    </row>
    <row r="21" spans="1:19" ht="15" customHeight="1">
      <c r="A21" s="9" t="s">
        <v>740</v>
      </c>
      <c r="B21" s="395">
        <v>0</v>
      </c>
      <c r="C21" s="395"/>
      <c r="D21" s="395">
        <v>0</v>
      </c>
      <c r="E21" s="395"/>
      <c r="F21" s="395">
        <v>0</v>
      </c>
      <c r="G21" s="395"/>
      <c r="H21" s="395">
        <v>0</v>
      </c>
      <c r="I21" s="395"/>
      <c r="J21" s="395">
        <v>0</v>
      </c>
      <c r="K21" s="395"/>
      <c r="L21" s="395">
        <v>0</v>
      </c>
      <c r="M21" s="395"/>
      <c r="N21" s="395">
        <f t="shared" si="1"/>
        <v>0</v>
      </c>
    </row>
    <row r="22" spans="1:19" ht="15" customHeight="1">
      <c r="A22" s="9" t="s">
        <v>741</v>
      </c>
      <c r="B22" s="395">
        <v>0</v>
      </c>
      <c r="C22" s="395"/>
      <c r="D22" s="395">
        <v>0</v>
      </c>
      <c r="E22" s="395"/>
      <c r="F22" s="395">
        <v>0</v>
      </c>
      <c r="G22" s="395"/>
      <c r="H22" s="395">
        <v>0</v>
      </c>
      <c r="I22" s="395"/>
      <c r="J22" s="395">
        <v>0</v>
      </c>
      <c r="K22" s="395"/>
      <c r="L22" s="395">
        <v>0</v>
      </c>
      <c r="M22" s="395"/>
      <c r="N22" s="395">
        <f t="shared" si="1"/>
        <v>0</v>
      </c>
    </row>
    <row r="23" spans="1:19" ht="15" customHeight="1">
      <c r="A23" s="9" t="s">
        <v>742</v>
      </c>
      <c r="B23" s="395">
        <v>0</v>
      </c>
      <c r="C23" s="395"/>
      <c r="D23" s="395">
        <v>0</v>
      </c>
      <c r="E23" s="395"/>
      <c r="F23" s="395">
        <v>0</v>
      </c>
      <c r="G23" s="395"/>
      <c r="H23" s="395">
        <v>0</v>
      </c>
      <c r="I23" s="395"/>
      <c r="J23" s="395">
        <v>0</v>
      </c>
      <c r="K23" s="395"/>
      <c r="L23" s="395">
        <v>0</v>
      </c>
      <c r="M23" s="395"/>
      <c r="N23" s="395">
        <v>0</v>
      </c>
    </row>
    <row r="24" spans="1:19" ht="15" customHeight="1">
      <c r="A24" s="9" t="s">
        <v>743</v>
      </c>
      <c r="B24" s="395">
        <v>0</v>
      </c>
      <c r="C24" s="395"/>
      <c r="D24" s="395">
        <v>0</v>
      </c>
      <c r="E24" s="395"/>
      <c r="F24" s="395">
        <v>0</v>
      </c>
      <c r="G24" s="395"/>
      <c r="H24" s="395">
        <v>0</v>
      </c>
      <c r="I24" s="395"/>
      <c r="J24" s="395">
        <v>0</v>
      </c>
      <c r="K24" s="395"/>
      <c r="L24" s="395">
        <v>0</v>
      </c>
      <c r="M24" s="395"/>
      <c r="N24" s="395">
        <v>0</v>
      </c>
    </row>
    <row r="25" spans="1:19" ht="15" customHeight="1">
      <c r="A25" s="9" t="s">
        <v>746</v>
      </c>
      <c r="B25" s="395">
        <v>0</v>
      </c>
      <c r="C25" s="395"/>
      <c r="D25" s="395">
        <v>0</v>
      </c>
      <c r="E25" s="395"/>
      <c r="F25" s="395">
        <v>0</v>
      </c>
      <c r="G25" s="395"/>
      <c r="H25" s="395">
        <v>0</v>
      </c>
      <c r="I25" s="395"/>
      <c r="J25" s="395">
        <v>0</v>
      </c>
      <c r="K25" s="395"/>
      <c r="L25" s="395">
        <v>0</v>
      </c>
      <c r="M25" s="395"/>
      <c r="N25" s="395">
        <v>0</v>
      </c>
    </row>
    <row r="26" spans="1:19" ht="15" customHeight="1">
      <c r="A26" s="9" t="s">
        <v>744</v>
      </c>
      <c r="B26" s="395">
        <v>0</v>
      </c>
      <c r="C26" s="395"/>
      <c r="D26" s="395">
        <v>0</v>
      </c>
      <c r="E26" s="395"/>
      <c r="F26" s="395">
        <v>0</v>
      </c>
      <c r="G26" s="395"/>
      <c r="H26" s="395">
        <v>0</v>
      </c>
      <c r="I26" s="395"/>
      <c r="J26" s="395">
        <v>0</v>
      </c>
      <c r="K26" s="395"/>
      <c r="L26" s="395">
        <v>0</v>
      </c>
      <c r="M26" s="395"/>
      <c r="N26" s="395">
        <v>0</v>
      </c>
    </row>
    <row r="27" spans="1:19" ht="15" customHeight="1">
      <c r="A27" s="9" t="s">
        <v>745</v>
      </c>
      <c r="B27" s="396">
        <v>0</v>
      </c>
      <c r="C27" s="395"/>
      <c r="D27" s="396">
        <v>0</v>
      </c>
      <c r="E27" s="395"/>
      <c r="F27" s="396">
        <v>0</v>
      </c>
      <c r="G27" s="395"/>
      <c r="H27" s="396">
        <v>0</v>
      </c>
      <c r="I27" s="395"/>
      <c r="J27" s="396">
        <v>0</v>
      </c>
      <c r="K27" s="395"/>
      <c r="L27" s="396">
        <v>0</v>
      </c>
      <c r="M27" s="395"/>
      <c r="N27" s="395">
        <f t="shared" si="0"/>
        <v>0</v>
      </c>
    </row>
    <row r="28" spans="1:19" ht="15" customHeight="1">
      <c r="A28" s="390"/>
      <c r="B28" s="396">
        <f>SUM(B13:B27)</f>
        <v>0</v>
      </c>
      <c r="C28" s="395"/>
      <c r="D28" s="396">
        <f>SUM(D13:D27)</f>
        <v>0</v>
      </c>
      <c r="E28" s="395"/>
      <c r="F28" s="396">
        <f>SUM(F13:F27)</f>
        <v>0</v>
      </c>
      <c r="G28" s="395"/>
      <c r="H28" s="396">
        <f>SUM(H13:H27)</f>
        <v>0</v>
      </c>
      <c r="I28" s="395"/>
      <c r="J28" s="396">
        <f>SUM(J13:J27)</f>
        <v>0</v>
      </c>
      <c r="K28" s="395"/>
      <c r="L28" s="396">
        <f>SUM(L13:L27)</f>
        <v>0</v>
      </c>
      <c r="M28" s="395"/>
      <c r="N28" s="418">
        <f>SUM(N13:N27)</f>
        <v>0</v>
      </c>
    </row>
    <row r="29" spans="1:19" ht="15" customHeight="1">
      <c r="A29" s="390"/>
      <c r="B29" s="395"/>
      <c r="C29" s="395"/>
      <c r="D29" s="395"/>
      <c r="E29" s="395"/>
      <c r="F29" s="395"/>
      <c r="G29" s="395"/>
      <c r="H29" s="395"/>
      <c r="I29" s="395"/>
      <c r="J29" s="395"/>
      <c r="K29" s="395"/>
      <c r="L29" s="395"/>
      <c r="M29" s="395"/>
      <c r="N29" s="395"/>
    </row>
    <row r="30" spans="1:19" ht="15" customHeight="1">
      <c r="A30" s="454" t="str">
        <f>+'Sch 1, pg 2 - Restated'!A30</f>
        <v>OPERATING EXPENSES</v>
      </c>
      <c r="B30" s="395"/>
      <c r="C30" s="395"/>
      <c r="D30" s="395"/>
      <c r="E30" s="395"/>
      <c r="F30" s="395"/>
      <c r="G30" s="395"/>
      <c r="H30" s="395"/>
      <c r="I30" s="395"/>
      <c r="J30" s="395"/>
      <c r="K30" s="395"/>
      <c r="L30" s="395"/>
      <c r="M30" s="395"/>
      <c r="N30" s="395"/>
    </row>
    <row r="31" spans="1:19" ht="15" customHeight="1">
      <c r="A31" s="9" t="s">
        <v>708</v>
      </c>
      <c r="B31" s="395">
        <v>0</v>
      </c>
      <c r="C31" s="395"/>
      <c r="D31" s="395">
        <v>0</v>
      </c>
      <c r="E31" s="395"/>
      <c r="F31" s="395">
        <v>0</v>
      </c>
      <c r="G31" s="395"/>
      <c r="H31" s="395">
        <v>0</v>
      </c>
      <c r="I31" s="395"/>
      <c r="J31" s="395">
        <v>0</v>
      </c>
      <c r="K31" s="395"/>
      <c r="L31" s="395">
        <v>0</v>
      </c>
      <c r="M31" s="395"/>
      <c r="N31" s="395">
        <f>SUM(B31:L31)</f>
        <v>0</v>
      </c>
      <c r="R31" s="419"/>
      <c r="S31" s="395"/>
    </row>
    <row r="32" spans="1:19" ht="15" customHeight="1">
      <c r="A32" s="9" t="s">
        <v>771</v>
      </c>
      <c r="B32" s="395">
        <v>0</v>
      </c>
      <c r="C32" s="395"/>
      <c r="D32" s="395">
        <v>0</v>
      </c>
      <c r="E32" s="395"/>
      <c r="F32" s="395">
        <f>+'WP-2, pg 2 - Labor Increase'!Y98</f>
        <v>90556.913959872865</v>
      </c>
      <c r="G32" s="395"/>
      <c r="H32" s="395">
        <v>0</v>
      </c>
      <c r="I32" s="395"/>
      <c r="J32" s="395">
        <v>0</v>
      </c>
      <c r="K32" s="395"/>
      <c r="L32" s="395">
        <v>0</v>
      </c>
      <c r="M32" s="395"/>
      <c r="N32" s="395">
        <f t="shared" ref="N32:N79" si="2">SUM(B32:L32)</f>
        <v>90556.913959872865</v>
      </c>
      <c r="R32" s="419"/>
      <c r="S32" s="395"/>
    </row>
    <row r="33" spans="1:19" ht="15" customHeight="1">
      <c r="A33" s="9" t="s">
        <v>772</v>
      </c>
      <c r="B33" s="395">
        <v>0</v>
      </c>
      <c r="C33" s="395"/>
      <c r="D33" s="395">
        <v>0</v>
      </c>
      <c r="E33" s="395"/>
      <c r="F33" s="395">
        <f>+'WP-2, pg 2 - Labor Increase'!Y99</f>
        <v>-71937.469566640109</v>
      </c>
      <c r="G33" s="395"/>
      <c r="H33" s="395">
        <v>0</v>
      </c>
      <c r="I33" s="395"/>
      <c r="J33" s="395">
        <v>0</v>
      </c>
      <c r="K33" s="395"/>
      <c r="L33" s="395">
        <v>0</v>
      </c>
      <c r="M33" s="395"/>
      <c r="N33" s="395">
        <f t="shared" si="2"/>
        <v>-71937.469566640109</v>
      </c>
      <c r="R33" s="419"/>
      <c r="S33" s="395"/>
    </row>
    <row r="34" spans="1:19" ht="15" customHeight="1">
      <c r="A34" s="9" t="s">
        <v>775</v>
      </c>
      <c r="B34" s="395">
        <v>0</v>
      </c>
      <c r="C34" s="395"/>
      <c r="D34" s="395">
        <v>0</v>
      </c>
      <c r="E34" s="395"/>
      <c r="F34" s="395">
        <f>+'WP-2, pg 2 - Labor Increase'!Y102</f>
        <v>5281.5163204896644</v>
      </c>
      <c r="G34" s="395"/>
      <c r="H34" s="395">
        <v>0</v>
      </c>
      <c r="I34" s="395"/>
      <c r="J34" s="395">
        <v>0</v>
      </c>
      <c r="K34" s="395"/>
      <c r="L34" s="395">
        <v>0</v>
      </c>
      <c r="M34" s="395"/>
      <c r="N34" s="395">
        <f t="shared" si="2"/>
        <v>5281.5163204896644</v>
      </c>
      <c r="R34" s="419"/>
      <c r="S34" s="395"/>
    </row>
    <row r="35" spans="1:19" ht="15" customHeight="1">
      <c r="A35" s="9" t="s">
        <v>773</v>
      </c>
      <c r="B35" s="395">
        <v>0</v>
      </c>
      <c r="C35" s="395"/>
      <c r="D35" s="395">
        <v>0</v>
      </c>
      <c r="E35" s="395"/>
      <c r="F35" s="395">
        <f>+'WP-2, pg 2 - Labor Increase'!Y100</f>
        <v>75664.996540000066</v>
      </c>
      <c r="G35" s="395"/>
      <c r="H35" s="395">
        <v>0</v>
      </c>
      <c r="I35" s="395"/>
      <c r="J35" s="395">
        <v>0</v>
      </c>
      <c r="K35" s="395"/>
      <c r="L35" s="395">
        <v>0</v>
      </c>
      <c r="M35" s="395"/>
      <c r="N35" s="395">
        <f t="shared" si="2"/>
        <v>75664.996540000066</v>
      </c>
      <c r="R35" s="419"/>
      <c r="S35" s="395"/>
    </row>
    <row r="36" spans="1:19" ht="15" customHeight="1">
      <c r="A36" s="9" t="s">
        <v>774</v>
      </c>
      <c r="B36" s="395">
        <v>0</v>
      </c>
      <c r="C36" s="395"/>
      <c r="D36" s="395">
        <v>0</v>
      </c>
      <c r="E36" s="395"/>
      <c r="F36" s="395">
        <f>+'WP-2, pg 2 - Labor Increase'!Y101</f>
        <v>8.3199999993667006E-2</v>
      </c>
      <c r="G36" s="395"/>
      <c r="H36" s="395">
        <v>0</v>
      </c>
      <c r="I36" s="395"/>
      <c r="J36" s="395">
        <v>0</v>
      </c>
      <c r="K36" s="395"/>
      <c r="L36" s="395">
        <v>0</v>
      </c>
      <c r="M36" s="395"/>
      <c r="N36" s="395">
        <f t="shared" si="2"/>
        <v>8.3199999993667006E-2</v>
      </c>
      <c r="R36" s="419"/>
      <c r="S36" s="395"/>
    </row>
    <row r="37" spans="1:19" ht="15" customHeight="1">
      <c r="A37" s="9" t="s">
        <v>917</v>
      </c>
      <c r="B37" s="395"/>
      <c r="C37" s="395"/>
      <c r="D37" s="395"/>
      <c r="E37" s="395"/>
      <c r="F37" s="395">
        <f>+'WP-2, pg 2 - Labor Increase'!Y103+'WP-2, pg 2 - Labor Increase'!Y104</f>
        <v>210216.75981045101</v>
      </c>
      <c r="G37" s="395"/>
      <c r="H37" s="395"/>
      <c r="I37" s="395"/>
      <c r="J37" s="395"/>
      <c r="K37" s="395"/>
      <c r="L37" s="395"/>
      <c r="M37" s="395"/>
      <c r="N37" s="395">
        <f t="shared" si="2"/>
        <v>210216.75981045101</v>
      </c>
      <c r="R37" s="419"/>
      <c r="S37" s="395"/>
    </row>
    <row r="38" spans="1:19" ht="15" customHeight="1">
      <c r="A38" s="9" t="s">
        <v>726</v>
      </c>
      <c r="B38" s="395">
        <v>0</v>
      </c>
      <c r="C38" s="395"/>
      <c r="D38" s="395">
        <v>0</v>
      </c>
      <c r="E38" s="395"/>
      <c r="F38" s="395">
        <f>+'WP-2, pg 3 - Benefits Analysis'!Q96</f>
        <v>84857.25761219603</v>
      </c>
      <c r="G38" s="395"/>
      <c r="H38" s="395">
        <v>0</v>
      </c>
      <c r="I38" s="395"/>
      <c r="J38" s="395">
        <v>0</v>
      </c>
      <c r="K38" s="395"/>
      <c r="L38" s="395">
        <v>0</v>
      </c>
      <c r="M38" s="395"/>
      <c r="N38" s="395">
        <f t="shared" si="2"/>
        <v>84857.25761219603</v>
      </c>
      <c r="R38" s="419"/>
      <c r="S38" s="395"/>
    </row>
    <row r="39" spans="1:19" ht="15" customHeight="1">
      <c r="A39" s="9" t="s">
        <v>347</v>
      </c>
      <c r="B39" s="395">
        <v>0</v>
      </c>
      <c r="C39" s="395"/>
      <c r="D39" s="395">
        <v>0</v>
      </c>
      <c r="E39" s="395"/>
      <c r="F39" s="395">
        <v>0</v>
      </c>
      <c r="G39" s="395"/>
      <c r="H39" s="395">
        <v>0</v>
      </c>
      <c r="I39" s="395"/>
      <c r="J39" s="395">
        <v>0</v>
      </c>
      <c r="K39" s="395"/>
      <c r="L39" s="395">
        <v>0</v>
      </c>
      <c r="M39" s="395"/>
      <c r="N39" s="395">
        <f t="shared" si="2"/>
        <v>0</v>
      </c>
      <c r="R39" s="419"/>
      <c r="S39" s="395"/>
    </row>
    <row r="40" spans="1:19" ht="15" customHeight="1">
      <c r="A40" s="9" t="s">
        <v>71</v>
      </c>
      <c r="B40" s="395">
        <v>0</v>
      </c>
      <c r="C40" s="395"/>
      <c r="D40" s="395">
        <v>0</v>
      </c>
      <c r="E40" s="395"/>
      <c r="F40" s="395">
        <v>0</v>
      </c>
      <c r="G40" s="395"/>
      <c r="H40" s="395">
        <v>0</v>
      </c>
      <c r="I40" s="395"/>
      <c r="J40" s="395">
        <v>0</v>
      </c>
      <c r="K40" s="395"/>
      <c r="L40" s="395">
        <v>0</v>
      </c>
      <c r="M40" s="395"/>
      <c r="N40" s="395">
        <f t="shared" si="2"/>
        <v>0</v>
      </c>
      <c r="R40" s="419"/>
      <c r="S40" s="395"/>
    </row>
    <row r="41" spans="1:19" ht="15" customHeight="1">
      <c r="A41" s="9" t="s">
        <v>727</v>
      </c>
      <c r="B41" s="395">
        <v>0</v>
      </c>
      <c r="C41" s="395"/>
      <c r="D41" s="395">
        <v>0</v>
      </c>
      <c r="E41" s="395"/>
      <c r="F41" s="395">
        <v>0</v>
      </c>
      <c r="G41" s="395"/>
      <c r="H41" s="395">
        <v>0</v>
      </c>
      <c r="I41" s="395"/>
      <c r="J41" s="395">
        <v>0</v>
      </c>
      <c r="K41" s="395"/>
      <c r="L41" s="395">
        <v>0</v>
      </c>
      <c r="M41" s="395"/>
      <c r="N41" s="395">
        <f t="shared" si="2"/>
        <v>0</v>
      </c>
      <c r="R41" s="419"/>
      <c r="S41" s="395"/>
    </row>
    <row r="42" spans="1:19" ht="15" customHeight="1">
      <c r="A42" s="9" t="s">
        <v>348</v>
      </c>
      <c r="B42" s="395">
        <v>0</v>
      </c>
      <c r="C42" s="395"/>
      <c r="D42" s="395">
        <v>0</v>
      </c>
      <c r="E42" s="395"/>
      <c r="F42" s="395">
        <v>0</v>
      </c>
      <c r="G42" s="395"/>
      <c r="H42" s="395">
        <v>0</v>
      </c>
      <c r="I42" s="395"/>
      <c r="J42" s="395">
        <v>0</v>
      </c>
      <c r="K42" s="395"/>
      <c r="L42" s="395">
        <v>0</v>
      </c>
      <c r="M42" s="395"/>
      <c r="N42" s="395">
        <f t="shared" si="2"/>
        <v>0</v>
      </c>
      <c r="R42" s="419"/>
    </row>
    <row r="43" spans="1:19" ht="15" customHeight="1">
      <c r="A43" s="9" t="s">
        <v>722</v>
      </c>
      <c r="B43" s="395">
        <v>0</v>
      </c>
      <c r="C43" s="395"/>
      <c r="D43" s="395">
        <v>0</v>
      </c>
      <c r="E43" s="395"/>
      <c r="F43" s="395">
        <v>0</v>
      </c>
      <c r="G43" s="395"/>
      <c r="H43" s="395">
        <v>0</v>
      </c>
      <c r="I43" s="395"/>
      <c r="J43" s="395">
        <v>0</v>
      </c>
      <c r="K43" s="395"/>
      <c r="L43" s="395">
        <v>0</v>
      </c>
      <c r="M43" s="395"/>
      <c r="N43" s="395">
        <f t="shared" si="2"/>
        <v>0</v>
      </c>
      <c r="R43" s="419"/>
    </row>
    <row r="44" spans="1:19" ht="15" customHeight="1">
      <c r="A44" s="9" t="s">
        <v>349</v>
      </c>
      <c r="B44" s="395">
        <v>0</v>
      </c>
      <c r="C44" s="395"/>
      <c r="D44" s="395">
        <v>0</v>
      </c>
      <c r="E44" s="395"/>
      <c r="F44" s="395">
        <v>0</v>
      </c>
      <c r="G44" s="395"/>
      <c r="H44" s="395">
        <v>0</v>
      </c>
      <c r="I44" s="395"/>
      <c r="J44" s="395">
        <v>0</v>
      </c>
      <c r="K44" s="395"/>
      <c r="L44" s="395">
        <v>0</v>
      </c>
      <c r="M44" s="395"/>
      <c r="N44" s="395">
        <f t="shared" si="2"/>
        <v>0</v>
      </c>
      <c r="R44" s="419"/>
    </row>
    <row r="45" spans="1:19" ht="15" customHeight="1">
      <c r="A45" s="9" t="s">
        <v>711</v>
      </c>
      <c r="B45" s="395">
        <v>0</v>
      </c>
      <c r="C45" s="395"/>
      <c r="D45" s="395">
        <v>0</v>
      </c>
      <c r="E45" s="395"/>
      <c r="F45" s="395">
        <v>0</v>
      </c>
      <c r="G45" s="395"/>
      <c r="H45" s="395">
        <v>0</v>
      </c>
      <c r="I45" s="395"/>
      <c r="J45" s="395">
        <v>0</v>
      </c>
      <c r="K45" s="395"/>
      <c r="L45" s="395">
        <v>0</v>
      </c>
      <c r="M45" s="395"/>
      <c r="N45" s="395">
        <f t="shared" si="2"/>
        <v>0</v>
      </c>
      <c r="R45" s="419"/>
    </row>
    <row r="46" spans="1:19" ht="15" customHeight="1">
      <c r="A46" s="9" t="s">
        <v>705</v>
      </c>
      <c r="B46" s="395">
        <v>0</v>
      </c>
      <c r="C46" s="395"/>
      <c r="D46" s="395">
        <v>0</v>
      </c>
      <c r="E46" s="395"/>
      <c r="F46" s="395">
        <v>0</v>
      </c>
      <c r="G46" s="395"/>
      <c r="H46" s="395">
        <v>0</v>
      </c>
      <c r="I46" s="395"/>
      <c r="J46" s="395">
        <v>0</v>
      </c>
      <c r="K46" s="395"/>
      <c r="L46" s="395">
        <v>0</v>
      </c>
      <c r="M46" s="395"/>
      <c r="N46" s="395">
        <f t="shared" si="2"/>
        <v>0</v>
      </c>
      <c r="R46" s="419"/>
    </row>
    <row r="47" spans="1:19" ht="15" customHeight="1">
      <c r="A47" s="9" t="s">
        <v>58</v>
      </c>
      <c r="B47" s="395">
        <v>0</v>
      </c>
      <c r="C47" s="395"/>
      <c r="D47" s="395">
        <v>0</v>
      </c>
      <c r="E47" s="395"/>
      <c r="F47" s="395">
        <v>0</v>
      </c>
      <c r="G47" s="395"/>
      <c r="H47" s="395">
        <f>+'WP-9 - Disposal Fees'!C61</f>
        <v>0</v>
      </c>
      <c r="I47" s="395"/>
      <c r="J47" s="395">
        <v>0</v>
      </c>
      <c r="K47" s="395"/>
      <c r="L47" s="395">
        <v>0</v>
      </c>
      <c r="M47" s="395"/>
      <c r="N47" s="395">
        <f t="shared" si="2"/>
        <v>0</v>
      </c>
      <c r="R47" s="419"/>
    </row>
    <row r="48" spans="1:19" ht="15" customHeight="1">
      <c r="A48" s="9" t="s">
        <v>874</v>
      </c>
      <c r="B48" s="395">
        <v>0</v>
      </c>
      <c r="C48" s="395"/>
      <c r="D48" s="395">
        <v>0</v>
      </c>
      <c r="E48" s="395"/>
      <c r="F48" s="395">
        <v>0</v>
      </c>
      <c r="G48" s="395"/>
      <c r="H48" s="395">
        <f>+'WP-9 - Disposal Fees'!C65</f>
        <v>0</v>
      </c>
      <c r="I48" s="395"/>
      <c r="J48" s="395">
        <v>0</v>
      </c>
      <c r="K48" s="395"/>
      <c r="L48" s="395">
        <v>0</v>
      </c>
      <c r="M48" s="395"/>
      <c r="N48" s="395">
        <f t="shared" si="2"/>
        <v>0</v>
      </c>
      <c r="R48" s="419"/>
    </row>
    <row r="49" spans="1:18" ht="15" customHeight="1">
      <c r="A49" s="9" t="s">
        <v>102</v>
      </c>
      <c r="B49" s="395">
        <v>0</v>
      </c>
      <c r="C49" s="395"/>
      <c r="D49" s="395">
        <f>+'WP-7 - Fuel Analysis'!E52</f>
        <v>-79541.288291214747</v>
      </c>
      <c r="E49" s="395"/>
      <c r="F49" s="395">
        <v>0</v>
      </c>
      <c r="G49" s="395"/>
      <c r="H49" s="395">
        <v>0</v>
      </c>
      <c r="I49" s="395"/>
      <c r="J49" s="395">
        <v>0</v>
      </c>
      <c r="K49" s="395"/>
      <c r="L49" s="395">
        <v>0</v>
      </c>
      <c r="M49" s="395"/>
      <c r="N49" s="395">
        <f t="shared" si="2"/>
        <v>-79541.288291214747</v>
      </c>
      <c r="R49" s="419"/>
    </row>
    <row r="50" spans="1:18" ht="15" customHeight="1">
      <c r="A50" s="9" t="s">
        <v>12</v>
      </c>
      <c r="B50" s="395">
        <v>0</v>
      </c>
      <c r="C50" s="395"/>
      <c r="D50" s="395">
        <v>0</v>
      </c>
      <c r="E50" s="395"/>
      <c r="F50" s="395">
        <v>0</v>
      </c>
      <c r="G50" s="395"/>
      <c r="H50" s="395">
        <v>0</v>
      </c>
      <c r="I50" s="399"/>
      <c r="J50" s="395">
        <v>0</v>
      </c>
      <c r="K50" s="395"/>
      <c r="L50" s="395">
        <v>0</v>
      </c>
      <c r="M50" s="395"/>
      <c r="N50" s="395">
        <f t="shared" si="2"/>
        <v>0</v>
      </c>
      <c r="R50" s="419"/>
    </row>
    <row r="51" spans="1:18" ht="15" customHeight="1">
      <c r="A51" s="9" t="s">
        <v>720</v>
      </c>
      <c r="B51" s="395">
        <v>0</v>
      </c>
      <c r="C51" s="395"/>
      <c r="D51" s="395">
        <v>0</v>
      </c>
      <c r="E51" s="395"/>
      <c r="F51" s="395">
        <v>0</v>
      </c>
      <c r="G51" s="395"/>
      <c r="H51" s="395">
        <v>0</v>
      </c>
      <c r="I51" s="395"/>
      <c r="J51" s="395">
        <v>0</v>
      </c>
      <c r="K51" s="395"/>
      <c r="L51" s="395">
        <v>0</v>
      </c>
      <c r="M51" s="395"/>
      <c r="N51" s="395">
        <f t="shared" si="2"/>
        <v>0</v>
      </c>
      <c r="R51" s="419"/>
    </row>
    <row r="52" spans="1:18" ht="15" customHeight="1">
      <c r="A52" s="9" t="s">
        <v>29</v>
      </c>
      <c r="B52" s="395">
        <v>0</v>
      </c>
      <c r="C52" s="395"/>
      <c r="D52" s="395">
        <v>0</v>
      </c>
      <c r="E52" s="395"/>
      <c r="F52" s="395">
        <f>+'WP-2, pg 2 - Labor Increase'!Y94</f>
        <v>73071.297272044292</v>
      </c>
      <c r="G52" s="395"/>
      <c r="H52" s="395">
        <v>0</v>
      </c>
      <c r="I52" s="395"/>
      <c r="J52" s="395">
        <v>0</v>
      </c>
      <c r="K52" s="399"/>
      <c r="L52" s="395">
        <v>0</v>
      </c>
      <c r="M52" s="399"/>
      <c r="N52" s="395">
        <f t="shared" si="2"/>
        <v>73071.297272044292</v>
      </c>
      <c r="R52" s="419"/>
    </row>
    <row r="53" spans="1:18" ht="15" customHeight="1">
      <c r="A53" s="9" t="s">
        <v>723</v>
      </c>
      <c r="B53" s="395">
        <v>0</v>
      </c>
      <c r="C53" s="395"/>
      <c r="D53" s="395">
        <v>0</v>
      </c>
      <c r="E53" s="395"/>
      <c r="F53" s="395">
        <v>0</v>
      </c>
      <c r="G53" s="395"/>
      <c r="H53" s="395">
        <v>0</v>
      </c>
      <c r="I53" s="395"/>
      <c r="J53" s="395">
        <v>0</v>
      </c>
      <c r="K53" s="395"/>
      <c r="L53" s="395">
        <v>0</v>
      </c>
      <c r="M53" s="395"/>
      <c r="N53" s="395">
        <f t="shared" si="2"/>
        <v>0</v>
      </c>
      <c r="R53" s="419"/>
    </row>
    <row r="54" spans="1:18" ht="15" customHeight="1">
      <c r="A54" s="9" t="s">
        <v>709</v>
      </c>
      <c r="B54" s="395">
        <v>0</v>
      </c>
      <c r="C54" s="395"/>
      <c r="D54" s="395">
        <v>0</v>
      </c>
      <c r="E54" s="395"/>
      <c r="F54" s="395">
        <v>0</v>
      </c>
      <c r="G54" s="395"/>
      <c r="H54" s="395">
        <v>0</v>
      </c>
      <c r="I54" s="395"/>
      <c r="J54" s="395">
        <v>0</v>
      </c>
      <c r="K54" s="395"/>
      <c r="L54" s="395">
        <v>0</v>
      </c>
      <c r="M54" s="395"/>
      <c r="N54" s="395">
        <f t="shared" si="2"/>
        <v>0</v>
      </c>
      <c r="R54" s="419"/>
    </row>
    <row r="55" spans="1:18" ht="15" customHeight="1">
      <c r="A55" s="9" t="s">
        <v>706</v>
      </c>
      <c r="B55" s="395">
        <v>0</v>
      </c>
      <c r="C55" s="395"/>
      <c r="D55" s="395">
        <v>0</v>
      </c>
      <c r="E55" s="395"/>
      <c r="F55" s="395">
        <v>0</v>
      </c>
      <c r="G55" s="395"/>
      <c r="H55" s="395">
        <v>0</v>
      </c>
      <c r="I55" s="395"/>
      <c r="J55" s="395">
        <f>+J18</f>
        <v>0</v>
      </c>
      <c r="K55" s="399"/>
      <c r="L55" s="395">
        <f>+L18</f>
        <v>0</v>
      </c>
      <c r="M55" s="399"/>
      <c r="N55" s="395">
        <f t="shared" si="2"/>
        <v>0</v>
      </c>
      <c r="R55" s="419"/>
    </row>
    <row r="56" spans="1:18" ht="15" customHeight="1">
      <c r="A56" s="9" t="s">
        <v>719</v>
      </c>
      <c r="B56" s="395">
        <v>0</v>
      </c>
      <c r="C56" s="395"/>
      <c r="D56" s="395">
        <v>0</v>
      </c>
      <c r="E56" s="395"/>
      <c r="F56" s="395">
        <v>0</v>
      </c>
      <c r="G56" s="395"/>
      <c r="H56" s="395">
        <f>+'Sch 2 - Forecast Exp'!C16</f>
        <v>0</v>
      </c>
      <c r="I56" s="395"/>
      <c r="J56" s="395">
        <v>0</v>
      </c>
      <c r="K56" s="395"/>
      <c r="L56" s="395">
        <f>+'WP-12 - Insurance'!N30</f>
        <v>148929.84302302988</v>
      </c>
      <c r="M56" s="395"/>
      <c r="N56" s="395">
        <f t="shared" si="2"/>
        <v>148929.84302302988</v>
      </c>
      <c r="R56" s="419"/>
    </row>
    <row r="57" spans="1:18" ht="15" customHeight="1">
      <c r="A57" s="9" t="s">
        <v>718</v>
      </c>
      <c r="B57" s="395">
        <v>0</v>
      </c>
      <c r="C57" s="395"/>
      <c r="D57" s="395">
        <v>0</v>
      </c>
      <c r="E57" s="395"/>
      <c r="F57" s="395">
        <v>0</v>
      </c>
      <c r="G57" s="395"/>
      <c r="H57" s="395">
        <v>0</v>
      </c>
      <c r="I57" s="395"/>
      <c r="J57" s="395">
        <v>0</v>
      </c>
      <c r="K57" s="395"/>
      <c r="L57" s="395">
        <v>0</v>
      </c>
      <c r="M57" s="395"/>
      <c r="N57" s="395">
        <f t="shared" si="2"/>
        <v>0</v>
      </c>
      <c r="R57" s="419"/>
    </row>
    <row r="58" spans="1:18" ht="15" customHeight="1">
      <c r="A58" s="9" t="s">
        <v>716</v>
      </c>
      <c r="B58" s="395">
        <v>0</v>
      </c>
      <c r="C58" s="395"/>
      <c r="D58" s="395">
        <v>0</v>
      </c>
      <c r="E58" s="395"/>
      <c r="F58" s="395">
        <v>0</v>
      </c>
      <c r="G58" s="395"/>
      <c r="H58" s="395">
        <v>0</v>
      </c>
      <c r="I58" s="395"/>
      <c r="J58" s="395">
        <v>0</v>
      </c>
      <c r="K58" s="395"/>
      <c r="L58" s="395">
        <v>0</v>
      </c>
      <c r="M58" s="395"/>
      <c r="N58" s="395">
        <f t="shared" si="2"/>
        <v>0</v>
      </c>
      <c r="R58" s="419"/>
    </row>
    <row r="59" spans="1:18" ht="15" customHeight="1">
      <c r="A59" s="9" t="s">
        <v>729</v>
      </c>
      <c r="B59" s="395">
        <v>0</v>
      </c>
      <c r="C59" s="395"/>
      <c r="D59" s="395">
        <v>0</v>
      </c>
      <c r="E59" s="395"/>
      <c r="F59" s="395">
        <v>0</v>
      </c>
      <c r="G59" s="395"/>
      <c r="H59" s="395">
        <v>0</v>
      </c>
      <c r="I59" s="395"/>
      <c r="J59" s="395">
        <v>0</v>
      </c>
      <c r="K59" s="395"/>
      <c r="L59" s="395">
        <v>0</v>
      </c>
      <c r="M59" s="395"/>
      <c r="N59" s="395">
        <f t="shared" si="2"/>
        <v>0</v>
      </c>
      <c r="R59" s="419"/>
    </row>
    <row r="60" spans="1:18" ht="15" customHeight="1">
      <c r="A60" s="9" t="s">
        <v>721</v>
      </c>
      <c r="B60" s="395">
        <v>0</v>
      </c>
      <c r="C60" s="395"/>
      <c r="D60" s="395">
        <v>0</v>
      </c>
      <c r="E60" s="395"/>
      <c r="F60" s="395">
        <v>0</v>
      </c>
      <c r="G60" s="395"/>
      <c r="H60" s="395">
        <v>0</v>
      </c>
      <c r="I60" s="395"/>
      <c r="J60" s="395">
        <v>0</v>
      </c>
      <c r="K60" s="395"/>
      <c r="L60" s="395">
        <v>0</v>
      </c>
      <c r="M60" s="395"/>
      <c r="N60" s="395">
        <f t="shared" si="2"/>
        <v>0</v>
      </c>
      <c r="R60" s="419"/>
    </row>
    <row r="61" spans="1:18" ht="15" customHeight="1">
      <c r="A61" s="9" t="s">
        <v>710</v>
      </c>
      <c r="B61" s="395">
        <v>0</v>
      </c>
      <c r="C61" s="395"/>
      <c r="D61" s="395">
        <v>0</v>
      </c>
      <c r="E61" s="395"/>
      <c r="F61" s="395">
        <v>0</v>
      </c>
      <c r="G61" s="395"/>
      <c r="H61" s="395">
        <v>0</v>
      </c>
      <c r="I61" s="395"/>
      <c r="J61" s="395">
        <v>0</v>
      </c>
      <c r="K61" s="395"/>
      <c r="L61" s="395">
        <v>0</v>
      </c>
      <c r="M61" s="395"/>
      <c r="N61" s="395">
        <f t="shared" si="2"/>
        <v>0</v>
      </c>
    </row>
    <row r="62" spans="1:18" ht="15" customHeight="1">
      <c r="A62" s="9" t="s">
        <v>724</v>
      </c>
      <c r="B62" s="395">
        <v>0</v>
      </c>
      <c r="C62" s="395"/>
      <c r="D62" s="395">
        <v>0</v>
      </c>
      <c r="E62" s="395"/>
      <c r="F62" s="395">
        <v>0</v>
      </c>
      <c r="G62" s="395"/>
      <c r="H62" s="395">
        <v>0</v>
      </c>
      <c r="I62" s="395"/>
      <c r="J62" s="395">
        <v>0</v>
      </c>
      <c r="K62" s="395"/>
      <c r="L62" s="395">
        <v>0</v>
      </c>
      <c r="M62" s="395"/>
      <c r="N62" s="395">
        <f t="shared" si="2"/>
        <v>0</v>
      </c>
    </row>
    <row r="63" spans="1:18" ht="15" customHeight="1">
      <c r="A63" s="9" t="s">
        <v>715</v>
      </c>
      <c r="B63" s="395">
        <v>0</v>
      </c>
      <c r="C63" s="395"/>
      <c r="D63" s="395">
        <v>0</v>
      </c>
      <c r="E63" s="395"/>
      <c r="F63" s="395">
        <v>0</v>
      </c>
      <c r="G63" s="395"/>
      <c r="H63" s="395">
        <v>0</v>
      </c>
      <c r="I63" s="395"/>
      <c r="J63" s="395">
        <v>0</v>
      </c>
      <c r="K63" s="395"/>
      <c r="L63" s="395">
        <v>0</v>
      </c>
      <c r="M63" s="395"/>
      <c r="N63" s="395">
        <f t="shared" si="2"/>
        <v>0</v>
      </c>
    </row>
    <row r="64" spans="1:18" ht="15" customHeight="1">
      <c r="A64" s="9" t="s">
        <v>350</v>
      </c>
      <c r="B64" s="395">
        <v>0</v>
      </c>
      <c r="C64" s="395"/>
      <c r="D64" s="395">
        <v>0</v>
      </c>
      <c r="E64" s="395"/>
      <c r="F64" s="395">
        <v>0</v>
      </c>
      <c r="G64" s="395"/>
      <c r="H64" s="395">
        <v>0</v>
      </c>
      <c r="I64" s="395"/>
      <c r="J64" s="395">
        <v>0</v>
      </c>
      <c r="K64" s="395"/>
      <c r="L64" s="395">
        <v>0</v>
      </c>
      <c r="M64" s="395"/>
      <c r="N64" s="395">
        <f t="shared" si="2"/>
        <v>0</v>
      </c>
    </row>
    <row r="65" spans="1:14" ht="15" customHeight="1">
      <c r="A65" s="9" t="s">
        <v>730</v>
      </c>
      <c r="B65" s="395">
        <v>0</v>
      </c>
      <c r="C65" s="395"/>
      <c r="D65" s="395">
        <v>0</v>
      </c>
      <c r="E65" s="395"/>
      <c r="F65" s="395">
        <v>0</v>
      </c>
      <c r="G65" s="395"/>
      <c r="H65" s="395">
        <v>0</v>
      </c>
      <c r="I65" s="395"/>
      <c r="J65" s="395">
        <v>0</v>
      </c>
      <c r="K65" s="395"/>
      <c r="L65" s="395">
        <v>0</v>
      </c>
      <c r="M65" s="395"/>
      <c r="N65" s="395">
        <f t="shared" si="2"/>
        <v>0</v>
      </c>
    </row>
    <row r="66" spans="1:14" ht="15" customHeight="1">
      <c r="A66" s="9" t="s">
        <v>704</v>
      </c>
      <c r="B66" s="395">
        <v>0</v>
      </c>
      <c r="C66" s="395"/>
      <c r="D66" s="395">
        <v>0</v>
      </c>
      <c r="E66" s="395"/>
      <c r="F66" s="395">
        <v>0</v>
      </c>
      <c r="G66" s="395"/>
      <c r="H66" s="395">
        <v>0</v>
      </c>
      <c r="I66" s="395"/>
      <c r="J66" s="395">
        <v>0</v>
      </c>
      <c r="K66" s="395"/>
      <c r="L66" s="395">
        <v>0</v>
      </c>
      <c r="M66" s="395"/>
      <c r="N66" s="395">
        <f t="shared" si="2"/>
        <v>0</v>
      </c>
    </row>
    <row r="67" spans="1:14" ht="15" customHeight="1">
      <c r="A67" s="9" t="s">
        <v>703</v>
      </c>
      <c r="B67" s="395">
        <v>0</v>
      </c>
      <c r="C67" s="395"/>
      <c r="D67" s="395">
        <v>0</v>
      </c>
      <c r="E67" s="395"/>
      <c r="F67" s="395">
        <v>0</v>
      </c>
      <c r="G67" s="395"/>
      <c r="H67" s="395">
        <v>0</v>
      </c>
      <c r="I67" s="395"/>
      <c r="J67" s="395">
        <v>0</v>
      </c>
      <c r="K67" s="395"/>
      <c r="L67" s="395">
        <v>0</v>
      </c>
      <c r="M67" s="395"/>
      <c r="N67" s="395">
        <f t="shared" si="2"/>
        <v>0</v>
      </c>
    </row>
    <row r="68" spans="1:14" ht="15" customHeight="1">
      <c r="A68" s="9" t="s">
        <v>352</v>
      </c>
      <c r="B68" s="395">
        <v>0</v>
      </c>
      <c r="C68" s="395"/>
      <c r="D68" s="395">
        <v>0</v>
      </c>
      <c r="E68" s="395"/>
      <c r="F68" s="395">
        <v>0</v>
      </c>
      <c r="G68" s="395"/>
      <c r="H68" s="395">
        <v>0</v>
      </c>
      <c r="I68" s="395"/>
      <c r="J68" s="395">
        <v>0</v>
      </c>
      <c r="K68" s="395"/>
      <c r="L68" s="395">
        <v>0</v>
      </c>
      <c r="M68" s="395"/>
      <c r="N68" s="395">
        <f t="shared" si="2"/>
        <v>0</v>
      </c>
    </row>
    <row r="69" spans="1:14" ht="15" customHeight="1">
      <c r="A69" s="9" t="s">
        <v>713</v>
      </c>
      <c r="B69" s="395">
        <v>0</v>
      </c>
      <c r="C69" s="395"/>
      <c r="D69" s="395">
        <v>0</v>
      </c>
      <c r="E69" s="395"/>
      <c r="F69" s="395">
        <v>0</v>
      </c>
      <c r="G69" s="395"/>
      <c r="H69" s="395">
        <f>H28*0.004</f>
        <v>0</v>
      </c>
      <c r="I69" s="395"/>
      <c r="J69" s="395">
        <v>0</v>
      </c>
      <c r="K69" s="395"/>
      <c r="L69" s="395">
        <v>0</v>
      </c>
      <c r="M69" s="395"/>
      <c r="N69" s="395">
        <f t="shared" si="2"/>
        <v>0</v>
      </c>
    </row>
    <row r="70" spans="1:14" ht="15" customHeight="1">
      <c r="A70" s="9" t="s">
        <v>707</v>
      </c>
      <c r="B70" s="395">
        <v>0</v>
      </c>
      <c r="C70" s="395"/>
      <c r="D70" s="395">
        <v>0</v>
      </c>
      <c r="E70" s="395"/>
      <c r="F70" s="395">
        <v>0</v>
      </c>
      <c r="G70" s="395"/>
      <c r="H70" s="395">
        <v>0</v>
      </c>
      <c r="I70" s="395"/>
      <c r="J70" s="395">
        <v>0</v>
      </c>
      <c r="K70" s="395"/>
      <c r="L70" s="395">
        <v>0</v>
      </c>
      <c r="M70" s="395"/>
      <c r="N70" s="395">
        <f t="shared" si="2"/>
        <v>0</v>
      </c>
    </row>
    <row r="71" spans="1:14" ht="15" customHeight="1">
      <c r="A71" s="9" t="s">
        <v>725</v>
      </c>
      <c r="B71" s="395">
        <v>0</v>
      </c>
      <c r="C71" s="395"/>
      <c r="D71" s="395">
        <v>0</v>
      </c>
      <c r="E71" s="395"/>
      <c r="F71" s="395">
        <v>0</v>
      </c>
      <c r="G71" s="395"/>
      <c r="H71" s="395">
        <v>0</v>
      </c>
      <c r="I71" s="395"/>
      <c r="J71" s="395">
        <v>0</v>
      </c>
      <c r="K71" s="395"/>
      <c r="L71" s="395">
        <v>0</v>
      </c>
      <c r="M71" s="395"/>
      <c r="N71" s="395">
        <f t="shared" si="2"/>
        <v>0</v>
      </c>
    </row>
    <row r="72" spans="1:14" ht="15" customHeight="1">
      <c r="A72" s="9" t="s">
        <v>717</v>
      </c>
      <c r="B72" s="395">
        <v>0</v>
      </c>
      <c r="C72" s="395"/>
      <c r="D72" s="395">
        <v>0</v>
      </c>
      <c r="E72" s="395"/>
      <c r="F72" s="395">
        <v>0</v>
      </c>
      <c r="G72" s="395"/>
      <c r="H72" s="395">
        <v>0</v>
      </c>
      <c r="I72" s="395"/>
      <c r="J72" s="395">
        <v>0</v>
      </c>
      <c r="K72" s="395"/>
      <c r="L72" s="395">
        <v>0</v>
      </c>
      <c r="M72" s="395"/>
      <c r="N72" s="395">
        <f t="shared" si="2"/>
        <v>0</v>
      </c>
    </row>
    <row r="73" spans="1:14" ht="15" customHeight="1">
      <c r="A73" s="9" t="s">
        <v>731</v>
      </c>
      <c r="B73" s="395">
        <v>0</v>
      </c>
      <c r="C73" s="395"/>
      <c r="D73" s="395">
        <v>0</v>
      </c>
      <c r="E73" s="395"/>
      <c r="F73" s="395">
        <v>0</v>
      </c>
      <c r="G73" s="395"/>
      <c r="H73" s="395">
        <v>0</v>
      </c>
      <c r="I73" s="395"/>
      <c r="J73" s="395">
        <v>0</v>
      </c>
      <c r="K73" s="395"/>
      <c r="L73" s="395">
        <v>0</v>
      </c>
      <c r="M73" s="395"/>
      <c r="N73" s="395">
        <f t="shared" si="2"/>
        <v>0</v>
      </c>
    </row>
    <row r="74" spans="1:14" ht="15" customHeight="1">
      <c r="A74" s="9" t="s">
        <v>712</v>
      </c>
      <c r="B74" s="395">
        <v>0</v>
      </c>
      <c r="C74" s="395"/>
      <c r="D74" s="395">
        <v>0</v>
      </c>
      <c r="E74" s="395"/>
      <c r="F74" s="395">
        <v>0</v>
      </c>
      <c r="G74" s="395"/>
      <c r="H74" s="395">
        <v>0</v>
      </c>
      <c r="I74" s="395"/>
      <c r="J74" s="395">
        <v>0</v>
      </c>
      <c r="K74" s="395"/>
      <c r="L74" s="395">
        <v>0</v>
      </c>
      <c r="M74" s="395"/>
      <c r="N74" s="395">
        <f t="shared" si="2"/>
        <v>0</v>
      </c>
    </row>
    <row r="75" spans="1:14" ht="15" customHeight="1">
      <c r="A75" s="9" t="s">
        <v>728</v>
      </c>
      <c r="B75" s="395">
        <v>0</v>
      </c>
      <c r="C75" s="395"/>
      <c r="D75" s="395">
        <v>0</v>
      </c>
      <c r="E75" s="395"/>
      <c r="F75" s="395">
        <v>0</v>
      </c>
      <c r="G75" s="395"/>
      <c r="H75" s="395">
        <v>0</v>
      </c>
      <c r="I75" s="395"/>
      <c r="J75" s="395">
        <v>0</v>
      </c>
      <c r="K75" s="395"/>
      <c r="L75" s="395">
        <v>0</v>
      </c>
      <c r="M75" s="395"/>
      <c r="N75" s="395">
        <f t="shared" si="2"/>
        <v>0</v>
      </c>
    </row>
    <row r="76" spans="1:14" ht="15" customHeight="1">
      <c r="A76" s="9" t="s">
        <v>30</v>
      </c>
      <c r="B76" s="395">
        <v>0</v>
      </c>
      <c r="C76" s="395"/>
      <c r="D76" s="395">
        <v>0</v>
      </c>
      <c r="E76" s="395"/>
      <c r="F76" s="395">
        <v>0</v>
      </c>
      <c r="G76" s="395"/>
      <c r="H76" s="395">
        <v>0</v>
      </c>
      <c r="I76" s="395"/>
      <c r="J76" s="395">
        <f>+'WP-1, pg 2 - Depreciation'!C405</f>
        <v>40483.363000782047</v>
      </c>
      <c r="K76" s="395"/>
      <c r="L76" s="395">
        <v>0</v>
      </c>
      <c r="M76" s="395"/>
      <c r="N76" s="395">
        <f t="shared" si="2"/>
        <v>40483.363000782047</v>
      </c>
    </row>
    <row r="77" spans="1:14" ht="15" customHeight="1">
      <c r="A77" s="9" t="s">
        <v>93</v>
      </c>
      <c r="B77" s="395">
        <v>0</v>
      </c>
      <c r="C77" s="395"/>
      <c r="D77" s="395">
        <v>0</v>
      </c>
      <c r="E77" s="395"/>
      <c r="F77" s="395">
        <v>0</v>
      </c>
      <c r="G77" s="395"/>
      <c r="H77" s="395">
        <v>0</v>
      </c>
      <c r="I77" s="395"/>
      <c r="J77" s="395">
        <v>0</v>
      </c>
      <c r="K77" s="395"/>
      <c r="L77" s="395">
        <v>0</v>
      </c>
      <c r="M77" s="395"/>
      <c r="N77" s="395">
        <f t="shared" si="2"/>
        <v>0</v>
      </c>
    </row>
    <row r="78" spans="1:14" ht="15" customHeight="1">
      <c r="A78" s="9" t="s">
        <v>40</v>
      </c>
      <c r="B78" s="395">
        <v>0</v>
      </c>
      <c r="C78" s="395"/>
      <c r="D78" s="395">
        <v>0</v>
      </c>
      <c r="E78" s="395"/>
      <c r="F78" s="395">
        <v>0</v>
      </c>
      <c r="G78" s="395"/>
      <c r="H78" s="395">
        <v>0</v>
      </c>
      <c r="I78" s="395"/>
      <c r="J78" s="395">
        <f>+'WP-1, pg 2 - Depreciation'!C407</f>
        <v>204412.35403025232</v>
      </c>
      <c r="K78" s="395"/>
      <c r="L78" s="395">
        <v>0</v>
      </c>
      <c r="M78" s="395"/>
      <c r="N78" s="395">
        <f t="shared" si="2"/>
        <v>204412.35403025232</v>
      </c>
    </row>
    <row r="79" spans="1:14" ht="15" customHeight="1">
      <c r="A79" s="9" t="s">
        <v>413</v>
      </c>
      <c r="B79" s="395">
        <f>+'WP-10 - Rate Case Costs'!D19</f>
        <v>5577.8</v>
      </c>
      <c r="C79" s="395"/>
      <c r="D79" s="395">
        <v>0</v>
      </c>
      <c r="E79" s="395"/>
      <c r="F79" s="395">
        <v>0</v>
      </c>
      <c r="G79" s="395"/>
      <c r="H79" s="395">
        <v>0</v>
      </c>
      <c r="I79" s="395"/>
      <c r="J79" s="395">
        <v>0</v>
      </c>
      <c r="K79" s="395"/>
      <c r="L79" s="395">
        <v>0</v>
      </c>
      <c r="M79" s="395"/>
      <c r="N79" s="397">
        <f t="shared" si="2"/>
        <v>5577.8</v>
      </c>
    </row>
    <row r="80" spans="1:14" ht="15" customHeight="1">
      <c r="A80" s="390"/>
      <c r="B80" s="401">
        <f>SUM(B31:B79)</f>
        <v>5577.8</v>
      </c>
      <c r="C80" s="394"/>
      <c r="D80" s="401">
        <f>SUM(D31:D79)</f>
        <v>-79541.288291214747</v>
      </c>
      <c r="E80" s="394"/>
      <c r="F80" s="401">
        <f>SUM(F31:F79)</f>
        <v>467711.3551484138</v>
      </c>
      <c r="G80" s="395"/>
      <c r="H80" s="401">
        <f>SUM(H31:H79)</f>
        <v>0</v>
      </c>
      <c r="I80" s="394"/>
      <c r="J80" s="401">
        <f>SUM(J31:J79)</f>
        <v>244895.71703103435</v>
      </c>
      <c r="K80" s="395"/>
      <c r="L80" s="803">
        <f>SUM(L31:L79)</f>
        <v>148929.84302302988</v>
      </c>
      <c r="M80" s="395"/>
      <c r="N80" s="396">
        <f>SUM(N31:N79)</f>
        <v>787573.42691126338</v>
      </c>
    </row>
    <row r="81" spans="1:14" ht="15" customHeight="1">
      <c r="A81" s="390"/>
      <c r="B81" s="395"/>
      <c r="C81" s="395"/>
      <c r="D81" s="395"/>
      <c r="E81" s="395"/>
      <c r="F81" s="395"/>
      <c r="G81" s="395"/>
      <c r="H81" s="395"/>
      <c r="I81" s="395"/>
      <c r="J81" s="395"/>
      <c r="K81" s="395"/>
      <c r="L81" s="395"/>
      <c r="M81" s="395"/>
      <c r="N81" s="395"/>
    </row>
    <row r="82" spans="1:14" ht="15" customHeight="1" thickBot="1">
      <c r="A82" s="390" t="s">
        <v>38</v>
      </c>
      <c r="B82" s="402">
        <f>+B28-B80</f>
        <v>-5577.8</v>
      </c>
      <c r="C82" s="395"/>
      <c r="D82" s="402">
        <f>+D28-D80</f>
        <v>79541.288291214747</v>
      </c>
      <c r="E82" s="395"/>
      <c r="F82" s="402">
        <f>+F28-F80</f>
        <v>-467711.3551484138</v>
      </c>
      <c r="G82" s="394"/>
      <c r="H82" s="402">
        <f>+H28-H80</f>
        <v>0</v>
      </c>
      <c r="I82" s="395"/>
      <c r="J82" s="402">
        <f>+J28-J80</f>
        <v>-244895.71703103435</v>
      </c>
      <c r="K82" s="394"/>
      <c r="L82" s="402">
        <f>+L28-L80</f>
        <v>-148929.84302302988</v>
      </c>
      <c r="M82" s="394"/>
      <c r="N82" s="402">
        <f>+N28-N80</f>
        <v>-787573.42691126338</v>
      </c>
    </row>
    <row r="83" spans="1:14" ht="15" customHeight="1" thickTop="1">
      <c r="A83" s="390"/>
      <c r="B83" s="390"/>
      <c r="C83" s="390"/>
      <c r="D83" s="390"/>
      <c r="E83" s="390"/>
      <c r="F83" s="390"/>
      <c r="G83" s="390"/>
      <c r="H83" s="390"/>
      <c r="I83" s="390"/>
      <c r="J83" s="390"/>
      <c r="K83" s="390"/>
      <c r="L83" s="390"/>
      <c r="M83" s="390"/>
      <c r="N83" s="390"/>
    </row>
    <row r="84" spans="1:14" ht="15" customHeight="1">
      <c r="A84" s="390"/>
      <c r="B84" s="390"/>
      <c r="C84" s="390"/>
      <c r="D84" s="390"/>
      <c r="E84" s="390"/>
      <c r="F84" s="390"/>
      <c r="G84" s="390"/>
      <c r="H84" s="390"/>
      <c r="I84" s="390"/>
      <c r="J84" s="390"/>
      <c r="K84" s="390"/>
      <c r="L84" s="390"/>
      <c r="M84" s="390"/>
      <c r="N84" s="390"/>
    </row>
    <row r="85" spans="1:14" ht="15" customHeight="1">
      <c r="A85" s="390"/>
      <c r="B85" s="390"/>
      <c r="C85" s="390"/>
      <c r="D85" s="390"/>
      <c r="E85" s="390"/>
      <c r="F85" s="390"/>
      <c r="G85" s="390"/>
      <c r="H85" s="390"/>
      <c r="I85" s="390"/>
      <c r="J85" s="390"/>
      <c r="K85" s="390"/>
      <c r="L85" s="390"/>
      <c r="M85" s="390"/>
      <c r="N85" s="390"/>
    </row>
    <row r="86" spans="1:14" ht="15" customHeight="1">
      <c r="A86" s="390"/>
      <c r="B86" s="390"/>
      <c r="C86" s="390"/>
      <c r="D86" s="390"/>
      <c r="E86" s="390"/>
      <c r="F86" s="390"/>
      <c r="G86" s="390"/>
      <c r="H86" s="390"/>
      <c r="I86" s="390"/>
      <c r="J86" s="390"/>
      <c r="K86" s="390"/>
      <c r="L86" s="390"/>
      <c r="M86" s="390"/>
      <c r="N86" s="390"/>
    </row>
    <row r="87" spans="1:14" ht="15" customHeight="1">
      <c r="A87" s="390"/>
      <c r="B87" s="390"/>
      <c r="C87" s="390"/>
      <c r="D87" s="390"/>
      <c r="E87" s="390"/>
      <c r="F87" s="390"/>
      <c r="G87" s="390"/>
      <c r="H87" s="390"/>
      <c r="I87" s="390"/>
      <c r="J87" s="390"/>
      <c r="K87" s="390"/>
      <c r="L87" s="390"/>
      <c r="M87" s="390"/>
      <c r="N87" s="390"/>
    </row>
    <row r="88" spans="1:14" ht="15" customHeight="1">
      <c r="A88" s="390"/>
      <c r="B88" s="390"/>
      <c r="C88" s="390"/>
      <c r="D88" s="390"/>
      <c r="E88" s="390"/>
      <c r="F88" s="390"/>
      <c r="G88" s="390"/>
      <c r="H88" s="390"/>
      <c r="I88" s="390"/>
      <c r="J88" s="390"/>
      <c r="K88" s="390"/>
      <c r="L88" s="390"/>
      <c r="M88" s="390"/>
      <c r="N88" s="390"/>
    </row>
    <row r="89" spans="1:14" ht="15" customHeight="1">
      <c r="A89" s="390"/>
      <c r="B89" s="390"/>
      <c r="C89" s="390"/>
      <c r="D89" s="390"/>
      <c r="E89" s="390"/>
      <c r="F89" s="390"/>
      <c r="G89" s="390"/>
      <c r="H89" s="390"/>
      <c r="I89" s="390"/>
      <c r="J89" s="390"/>
      <c r="K89" s="390"/>
      <c r="L89" s="390"/>
      <c r="M89" s="390"/>
      <c r="N89" s="390"/>
    </row>
    <row r="90" spans="1:14" ht="15" customHeight="1">
      <c r="A90" s="390"/>
      <c r="B90" s="390"/>
      <c r="C90" s="390"/>
      <c r="D90" s="390"/>
      <c r="E90" s="390"/>
      <c r="F90" s="390"/>
      <c r="G90" s="390"/>
      <c r="H90" s="390"/>
      <c r="I90" s="390"/>
      <c r="J90" s="390"/>
      <c r="K90" s="390"/>
      <c r="L90" s="390"/>
      <c r="M90" s="390"/>
      <c r="N90" s="390"/>
    </row>
    <row r="91" spans="1:14" ht="15" customHeight="1">
      <c r="A91" s="390"/>
      <c r="B91" s="390"/>
      <c r="C91" s="390"/>
      <c r="D91" s="390"/>
      <c r="E91" s="390"/>
      <c r="F91" s="390"/>
      <c r="G91" s="390"/>
      <c r="H91" s="390"/>
      <c r="I91" s="390"/>
      <c r="J91" s="390"/>
      <c r="K91" s="390"/>
      <c r="L91" s="390"/>
      <c r="M91" s="390"/>
      <c r="N91" s="390"/>
    </row>
    <row r="92" spans="1:14" ht="15" customHeight="1">
      <c r="A92" s="390"/>
      <c r="B92" s="390"/>
      <c r="C92" s="390"/>
      <c r="D92" s="390"/>
      <c r="E92" s="390"/>
      <c r="F92" s="390"/>
      <c r="G92" s="390"/>
      <c r="H92" s="390"/>
      <c r="I92" s="390"/>
      <c r="J92" s="390"/>
      <c r="K92" s="390"/>
      <c r="L92" s="390"/>
      <c r="M92" s="390"/>
      <c r="N92" s="390"/>
    </row>
    <row r="93" spans="1:14" ht="15" customHeight="1">
      <c r="A93" s="390"/>
      <c r="B93" s="390"/>
      <c r="C93" s="390"/>
      <c r="D93" s="390"/>
      <c r="E93" s="390"/>
      <c r="F93" s="390"/>
      <c r="G93" s="390"/>
      <c r="H93" s="390"/>
      <c r="I93" s="390"/>
      <c r="J93" s="390"/>
      <c r="K93" s="390"/>
      <c r="L93" s="390"/>
      <c r="M93" s="390"/>
      <c r="N93" s="390"/>
    </row>
    <row r="94" spans="1:14" ht="15" customHeight="1">
      <c r="A94" s="390"/>
      <c r="B94" s="390"/>
      <c r="C94" s="390"/>
      <c r="D94" s="390"/>
      <c r="E94" s="390"/>
      <c r="F94" s="390"/>
      <c r="G94" s="390"/>
      <c r="H94" s="390"/>
      <c r="I94" s="390"/>
      <c r="J94" s="390"/>
      <c r="K94" s="390"/>
      <c r="L94" s="390"/>
      <c r="M94" s="390"/>
      <c r="N94" s="390"/>
    </row>
    <row r="95" spans="1:14" ht="15" customHeight="1">
      <c r="A95" s="390"/>
      <c r="B95" s="390"/>
      <c r="C95" s="390"/>
      <c r="D95" s="390"/>
      <c r="E95" s="390"/>
      <c r="F95" s="390"/>
      <c r="G95" s="390"/>
      <c r="H95" s="390"/>
      <c r="I95" s="390"/>
      <c r="J95" s="390"/>
      <c r="K95" s="390"/>
      <c r="L95" s="390"/>
      <c r="M95" s="390"/>
      <c r="N95" s="390"/>
    </row>
    <row r="96" spans="1:14" ht="15" customHeight="1">
      <c r="A96" s="390"/>
      <c r="B96" s="390"/>
      <c r="C96" s="390"/>
      <c r="D96" s="390"/>
      <c r="E96" s="390"/>
      <c r="F96" s="390"/>
      <c r="G96" s="390"/>
      <c r="H96" s="390"/>
      <c r="I96" s="390"/>
      <c r="J96" s="390"/>
      <c r="K96" s="390"/>
      <c r="L96" s="390"/>
      <c r="M96" s="390"/>
      <c r="N96" s="390"/>
    </row>
    <row r="97" spans="1:14">
      <c r="A97" s="390"/>
      <c r="B97" s="390"/>
      <c r="C97" s="390"/>
      <c r="D97" s="390"/>
      <c r="E97" s="390"/>
      <c r="F97" s="390"/>
      <c r="G97" s="390"/>
      <c r="H97" s="390"/>
      <c r="I97" s="390"/>
      <c r="J97" s="390"/>
      <c r="K97" s="390"/>
      <c r="L97" s="390"/>
      <c r="M97" s="390"/>
      <c r="N97" s="390"/>
    </row>
    <row r="98" spans="1:14">
      <c r="A98" s="390"/>
      <c r="B98" s="390"/>
      <c r="C98" s="390"/>
      <c r="D98" s="390"/>
      <c r="E98" s="390"/>
      <c r="F98" s="390"/>
      <c r="G98" s="390"/>
      <c r="H98" s="390"/>
      <c r="I98" s="390"/>
      <c r="J98" s="390"/>
      <c r="K98" s="390"/>
      <c r="L98" s="390"/>
      <c r="M98" s="390"/>
      <c r="N98" s="390"/>
    </row>
    <row r="99" spans="1:14">
      <c r="A99" s="390"/>
      <c r="B99" s="390"/>
      <c r="C99" s="390"/>
      <c r="D99" s="390"/>
      <c r="E99" s="390"/>
      <c r="F99" s="390"/>
      <c r="G99" s="390"/>
      <c r="H99" s="390"/>
      <c r="I99" s="390"/>
      <c r="J99" s="390"/>
      <c r="K99" s="390"/>
      <c r="L99" s="390"/>
      <c r="M99" s="390"/>
      <c r="N99" s="390"/>
    </row>
    <row r="100" spans="1:14">
      <c r="A100" s="390"/>
      <c r="B100" s="390"/>
      <c r="C100" s="390"/>
      <c r="D100" s="390"/>
      <c r="E100" s="390"/>
      <c r="F100" s="390"/>
      <c r="G100" s="390"/>
      <c r="H100" s="390"/>
      <c r="I100" s="390"/>
      <c r="J100" s="390"/>
      <c r="K100" s="390"/>
      <c r="L100" s="390"/>
      <c r="M100" s="390"/>
      <c r="N100" s="390"/>
    </row>
    <row r="101" spans="1:14">
      <c r="A101" s="390"/>
      <c r="B101" s="390"/>
      <c r="C101" s="390"/>
      <c r="D101" s="390"/>
      <c r="E101" s="390"/>
      <c r="F101" s="390"/>
      <c r="G101" s="390"/>
      <c r="H101" s="390"/>
      <c r="I101" s="390"/>
      <c r="J101" s="390"/>
      <c r="K101" s="390"/>
      <c r="L101" s="390"/>
      <c r="M101" s="390"/>
      <c r="N101" s="390"/>
    </row>
    <row r="102" spans="1:14">
      <c r="A102" s="390"/>
      <c r="B102" s="390"/>
      <c r="C102" s="390"/>
      <c r="D102" s="390"/>
      <c r="E102" s="390"/>
      <c r="F102" s="390"/>
      <c r="G102" s="390"/>
      <c r="H102" s="390"/>
      <c r="I102" s="390"/>
      <c r="J102" s="390"/>
      <c r="K102" s="390"/>
      <c r="L102" s="390"/>
      <c r="M102" s="390"/>
      <c r="N102" s="390"/>
    </row>
    <row r="103" spans="1:14">
      <c r="A103" s="390"/>
      <c r="B103" s="390"/>
      <c r="C103" s="390"/>
      <c r="D103" s="390"/>
      <c r="E103" s="390"/>
      <c r="F103" s="390"/>
      <c r="G103" s="390"/>
      <c r="H103" s="390"/>
      <c r="I103" s="390"/>
      <c r="J103" s="390"/>
      <c r="K103" s="390"/>
      <c r="L103" s="390"/>
      <c r="M103" s="390"/>
      <c r="N103" s="390"/>
    </row>
    <row r="104" spans="1:14">
      <c r="A104" s="390"/>
      <c r="B104" s="390"/>
      <c r="C104" s="390"/>
      <c r="D104" s="390"/>
      <c r="E104" s="390"/>
      <c r="F104" s="390"/>
      <c r="G104" s="390"/>
      <c r="H104" s="390"/>
      <c r="I104" s="390"/>
      <c r="J104" s="390"/>
      <c r="K104" s="390"/>
      <c r="L104" s="390"/>
      <c r="M104" s="390"/>
      <c r="N104" s="390"/>
    </row>
    <row r="105" spans="1:14">
      <c r="A105" s="390"/>
      <c r="B105" s="390"/>
      <c r="C105" s="390"/>
      <c r="D105" s="390"/>
      <c r="E105" s="390"/>
      <c r="F105" s="390"/>
      <c r="G105" s="390"/>
      <c r="H105" s="390"/>
      <c r="I105" s="390"/>
      <c r="J105" s="390"/>
      <c r="K105" s="390"/>
      <c r="L105" s="390"/>
      <c r="M105" s="390"/>
      <c r="N105" s="390"/>
    </row>
    <row r="106" spans="1:14">
      <c r="A106" s="390"/>
      <c r="B106" s="390"/>
      <c r="C106" s="390"/>
      <c r="D106" s="390"/>
      <c r="E106" s="390"/>
      <c r="F106" s="390"/>
      <c r="G106" s="390"/>
      <c r="H106" s="390"/>
      <c r="I106" s="390"/>
      <c r="J106" s="390"/>
      <c r="K106" s="390"/>
      <c r="L106" s="390"/>
      <c r="M106" s="390"/>
      <c r="N106" s="390"/>
    </row>
    <row r="107" spans="1:14">
      <c r="A107" s="390"/>
      <c r="B107" s="390"/>
      <c r="C107" s="390"/>
      <c r="D107" s="390"/>
      <c r="E107" s="390"/>
      <c r="F107" s="390"/>
      <c r="G107" s="390"/>
      <c r="H107" s="390"/>
      <c r="I107" s="390"/>
      <c r="J107" s="390"/>
      <c r="K107" s="390"/>
      <c r="L107" s="390"/>
      <c r="M107" s="390"/>
      <c r="N107" s="390"/>
    </row>
    <row r="108" spans="1:14">
      <c r="A108" s="390"/>
      <c r="B108" s="390"/>
      <c r="C108" s="390"/>
      <c r="D108" s="390"/>
      <c r="E108" s="390"/>
      <c r="F108" s="390"/>
      <c r="G108" s="390"/>
      <c r="H108" s="390"/>
      <c r="I108" s="390"/>
      <c r="J108" s="390"/>
      <c r="K108" s="390"/>
      <c r="L108" s="390"/>
      <c r="M108" s="390"/>
      <c r="N108" s="390"/>
    </row>
    <row r="109" spans="1:14">
      <c r="A109" s="390"/>
      <c r="B109" s="390"/>
      <c r="C109" s="390"/>
      <c r="D109" s="390"/>
      <c r="E109" s="390"/>
      <c r="F109" s="390"/>
      <c r="G109" s="390"/>
      <c r="H109" s="390"/>
      <c r="I109" s="390"/>
      <c r="J109" s="390"/>
      <c r="K109" s="390"/>
      <c r="L109" s="390"/>
      <c r="M109" s="390"/>
      <c r="N109" s="390"/>
    </row>
    <row r="110" spans="1:14">
      <c r="A110" s="390"/>
      <c r="B110" s="390"/>
      <c r="C110" s="390"/>
      <c r="D110" s="390"/>
      <c r="E110" s="390"/>
      <c r="F110" s="390"/>
      <c r="G110" s="390"/>
      <c r="H110" s="390"/>
      <c r="I110" s="390"/>
      <c r="J110" s="390"/>
      <c r="K110" s="390"/>
      <c r="L110" s="390"/>
      <c r="M110" s="390"/>
      <c r="N110" s="390"/>
    </row>
    <row r="111" spans="1:14">
      <c r="A111" s="390"/>
      <c r="B111" s="390"/>
      <c r="C111" s="390"/>
      <c r="D111" s="390"/>
      <c r="E111" s="390"/>
      <c r="F111" s="390"/>
      <c r="G111" s="390"/>
      <c r="H111" s="390"/>
      <c r="I111" s="390"/>
      <c r="J111" s="390"/>
      <c r="K111" s="390"/>
      <c r="L111" s="390"/>
      <c r="M111" s="390"/>
      <c r="N111" s="390"/>
    </row>
    <row r="112" spans="1:14">
      <c r="A112" s="390"/>
      <c r="B112" s="390"/>
      <c r="C112" s="390"/>
      <c r="D112" s="390"/>
      <c r="E112" s="390"/>
      <c r="F112" s="390"/>
      <c r="G112" s="390"/>
      <c r="H112" s="390"/>
      <c r="I112" s="390"/>
      <c r="J112" s="390"/>
      <c r="K112" s="390"/>
      <c r="L112" s="390"/>
      <c r="M112" s="390"/>
      <c r="N112" s="390"/>
    </row>
    <row r="113" spans="1:14">
      <c r="A113" s="390"/>
      <c r="B113" s="390"/>
      <c r="C113" s="390"/>
      <c r="D113" s="390"/>
      <c r="E113" s="390"/>
      <c r="F113" s="390"/>
      <c r="G113" s="390"/>
      <c r="H113" s="390"/>
      <c r="I113" s="390"/>
      <c r="J113" s="390"/>
      <c r="K113" s="390"/>
      <c r="L113" s="390"/>
      <c r="M113" s="390"/>
      <c r="N113" s="390"/>
    </row>
    <row r="114" spans="1:14">
      <c r="A114" s="390"/>
      <c r="B114" s="390"/>
      <c r="C114" s="390"/>
      <c r="D114" s="390"/>
      <c r="E114" s="390"/>
      <c r="F114" s="390"/>
      <c r="G114" s="390"/>
      <c r="H114" s="390"/>
      <c r="I114" s="390"/>
      <c r="J114" s="390"/>
      <c r="K114" s="390"/>
      <c r="L114" s="390"/>
      <c r="M114" s="390"/>
      <c r="N114" s="390"/>
    </row>
    <row r="115" spans="1:14">
      <c r="A115" s="390"/>
      <c r="B115" s="390"/>
      <c r="C115" s="390"/>
      <c r="D115" s="390"/>
      <c r="E115" s="390"/>
      <c r="F115" s="390"/>
      <c r="G115" s="390"/>
      <c r="H115" s="390"/>
      <c r="I115" s="390"/>
      <c r="J115" s="390"/>
      <c r="K115" s="390"/>
      <c r="L115" s="390"/>
      <c r="M115" s="390"/>
      <c r="N115" s="390"/>
    </row>
    <row r="116" spans="1:14">
      <c r="A116" s="390"/>
      <c r="B116" s="390"/>
      <c r="C116" s="390"/>
      <c r="D116" s="390"/>
      <c r="E116" s="390"/>
      <c r="F116" s="390"/>
      <c r="G116" s="390"/>
      <c r="H116" s="390"/>
      <c r="I116" s="390"/>
      <c r="J116" s="390"/>
      <c r="K116" s="390"/>
      <c r="L116" s="390"/>
      <c r="M116" s="390"/>
      <c r="N116" s="390"/>
    </row>
    <row r="117" spans="1:14">
      <c r="A117" s="390"/>
      <c r="B117" s="390"/>
      <c r="C117" s="390"/>
      <c r="D117" s="390"/>
      <c r="E117" s="390"/>
      <c r="F117" s="390"/>
      <c r="G117" s="390"/>
      <c r="H117" s="390"/>
      <c r="I117" s="390"/>
      <c r="J117" s="390"/>
      <c r="K117" s="390"/>
      <c r="L117" s="390"/>
      <c r="M117" s="390"/>
      <c r="N117" s="390"/>
    </row>
    <row r="118" spans="1:14">
      <c r="A118" s="390"/>
      <c r="B118" s="390"/>
      <c r="C118" s="390"/>
      <c r="D118" s="390"/>
      <c r="E118" s="390"/>
      <c r="F118" s="390"/>
      <c r="G118" s="390"/>
      <c r="H118" s="390"/>
      <c r="I118" s="390"/>
      <c r="J118" s="390"/>
      <c r="K118" s="390"/>
      <c r="L118" s="390"/>
      <c r="M118" s="390"/>
      <c r="N118" s="390"/>
    </row>
    <row r="119" spans="1:14">
      <c r="A119" s="390"/>
      <c r="B119" s="390"/>
      <c r="C119" s="390"/>
      <c r="D119" s="390"/>
      <c r="E119" s="390"/>
      <c r="F119" s="390"/>
      <c r="G119" s="390"/>
      <c r="H119" s="390"/>
      <c r="I119" s="390"/>
      <c r="J119" s="390"/>
      <c r="K119" s="390"/>
      <c r="L119" s="390"/>
      <c r="M119" s="390"/>
      <c r="N119" s="390"/>
    </row>
    <row r="120" spans="1:14">
      <c r="A120" s="390"/>
      <c r="B120" s="390"/>
      <c r="C120" s="390"/>
      <c r="D120" s="390"/>
      <c r="E120" s="390"/>
      <c r="F120" s="390"/>
      <c r="G120" s="390"/>
      <c r="H120" s="390"/>
      <c r="I120" s="390"/>
      <c r="J120" s="390"/>
      <c r="K120" s="390"/>
      <c r="L120" s="390"/>
      <c r="M120" s="390"/>
      <c r="N120" s="390"/>
    </row>
    <row r="121" spans="1:14">
      <c r="A121" s="390"/>
      <c r="B121" s="390"/>
      <c r="C121" s="390"/>
      <c r="D121" s="390"/>
      <c r="E121" s="390"/>
      <c r="F121" s="390"/>
      <c r="G121" s="390"/>
      <c r="H121" s="390"/>
      <c r="I121" s="390"/>
      <c r="J121" s="390"/>
      <c r="K121" s="390"/>
      <c r="L121" s="390"/>
      <c r="M121" s="390"/>
      <c r="N121" s="390"/>
    </row>
    <row r="122" spans="1:14">
      <c r="A122" s="390"/>
      <c r="B122" s="390"/>
      <c r="C122" s="390"/>
      <c r="D122" s="390"/>
      <c r="E122" s="390"/>
      <c r="F122" s="390"/>
      <c r="G122" s="390"/>
      <c r="H122" s="390"/>
      <c r="I122" s="390"/>
      <c r="J122" s="390"/>
      <c r="K122" s="390"/>
      <c r="L122" s="390"/>
      <c r="M122" s="390"/>
      <c r="N122" s="390"/>
    </row>
    <row r="123" spans="1:14">
      <c r="A123" s="390"/>
      <c r="B123" s="390"/>
      <c r="C123" s="390"/>
      <c r="D123" s="390"/>
      <c r="E123" s="390"/>
      <c r="F123" s="390"/>
      <c r="G123" s="390"/>
      <c r="H123" s="390"/>
      <c r="I123" s="390"/>
      <c r="J123" s="390"/>
      <c r="K123" s="390"/>
      <c r="L123" s="390"/>
      <c r="M123" s="390"/>
      <c r="N123" s="390"/>
    </row>
    <row r="124" spans="1:14">
      <c r="A124" s="390"/>
      <c r="B124" s="390"/>
      <c r="C124" s="390"/>
      <c r="D124" s="390"/>
      <c r="E124" s="390"/>
      <c r="F124" s="390"/>
      <c r="G124" s="390"/>
      <c r="H124" s="390"/>
      <c r="I124" s="390"/>
      <c r="J124" s="390"/>
      <c r="K124" s="390"/>
      <c r="L124" s="390"/>
      <c r="M124" s="390"/>
      <c r="N124" s="390"/>
    </row>
    <row r="125" spans="1:14">
      <c r="A125" s="390"/>
      <c r="B125" s="390"/>
      <c r="C125" s="390"/>
      <c r="D125" s="390"/>
      <c r="E125" s="390"/>
      <c r="F125" s="390"/>
      <c r="G125" s="390"/>
      <c r="H125" s="390"/>
      <c r="I125" s="390"/>
      <c r="J125" s="390"/>
      <c r="K125" s="390"/>
      <c r="L125" s="390"/>
      <c r="M125" s="390"/>
      <c r="N125" s="390"/>
    </row>
    <row r="126" spans="1:14">
      <c r="A126" s="390"/>
      <c r="B126" s="390"/>
      <c r="C126" s="390"/>
      <c r="D126" s="390"/>
      <c r="E126" s="390"/>
      <c r="F126" s="390"/>
      <c r="G126" s="390"/>
      <c r="H126" s="390"/>
      <c r="I126" s="390"/>
      <c r="J126" s="390"/>
      <c r="K126" s="390"/>
      <c r="L126" s="390"/>
      <c r="M126" s="390"/>
      <c r="N126" s="390"/>
    </row>
    <row r="127" spans="1:14">
      <c r="A127" s="390"/>
      <c r="B127" s="390"/>
      <c r="C127" s="390"/>
      <c r="D127" s="390"/>
      <c r="E127" s="390"/>
      <c r="F127" s="390"/>
      <c r="G127" s="390"/>
      <c r="H127" s="390"/>
      <c r="I127" s="390"/>
      <c r="J127" s="390"/>
      <c r="K127" s="390"/>
      <c r="L127" s="390"/>
      <c r="M127" s="390"/>
      <c r="N127" s="390"/>
    </row>
    <row r="128" spans="1:14">
      <c r="A128" s="390"/>
      <c r="B128" s="390"/>
      <c r="C128" s="390"/>
      <c r="D128" s="390"/>
      <c r="E128" s="390"/>
      <c r="F128" s="390"/>
      <c r="G128" s="390"/>
      <c r="H128" s="390"/>
      <c r="I128" s="390"/>
      <c r="J128" s="390"/>
      <c r="K128" s="390"/>
      <c r="L128" s="390"/>
      <c r="M128" s="390"/>
      <c r="N128" s="390"/>
    </row>
    <row r="129" spans="1:14">
      <c r="A129" s="390"/>
      <c r="B129" s="390"/>
      <c r="C129" s="390"/>
      <c r="D129" s="390"/>
      <c r="E129" s="390"/>
      <c r="F129" s="390"/>
      <c r="G129" s="390"/>
      <c r="H129" s="390"/>
      <c r="I129" s="390"/>
      <c r="J129" s="390"/>
      <c r="K129" s="390"/>
      <c r="L129" s="390"/>
      <c r="M129" s="390"/>
      <c r="N129" s="390"/>
    </row>
    <row r="130" spans="1:14">
      <c r="A130" s="390"/>
      <c r="B130" s="390"/>
      <c r="C130" s="390"/>
      <c r="D130" s="390"/>
      <c r="E130" s="390"/>
      <c r="F130" s="390"/>
      <c r="G130" s="390"/>
      <c r="H130" s="390"/>
      <c r="I130" s="390"/>
      <c r="J130" s="390"/>
      <c r="K130" s="390"/>
      <c r="L130" s="390"/>
      <c r="M130" s="390"/>
      <c r="N130" s="390"/>
    </row>
    <row r="131" spans="1:14">
      <c r="A131" s="390"/>
      <c r="B131" s="390"/>
      <c r="C131" s="390"/>
      <c r="D131" s="390"/>
      <c r="E131" s="390"/>
      <c r="F131" s="390"/>
      <c r="G131" s="390"/>
      <c r="H131" s="390"/>
      <c r="I131" s="390"/>
      <c r="J131" s="390"/>
      <c r="K131" s="390"/>
      <c r="L131" s="390"/>
      <c r="M131" s="390"/>
      <c r="N131" s="390"/>
    </row>
    <row r="132" spans="1:14">
      <c r="A132" s="390"/>
      <c r="B132" s="390"/>
      <c r="C132" s="390"/>
      <c r="D132" s="390"/>
      <c r="E132" s="390"/>
      <c r="F132" s="390"/>
      <c r="G132" s="390"/>
      <c r="H132" s="390"/>
      <c r="I132" s="390"/>
      <c r="J132" s="390"/>
      <c r="K132" s="390"/>
      <c r="L132" s="390"/>
      <c r="M132" s="390"/>
      <c r="N132" s="390"/>
    </row>
    <row r="133" spans="1:14">
      <c r="A133" s="390"/>
      <c r="B133" s="390"/>
      <c r="C133" s="390"/>
      <c r="D133" s="390"/>
      <c r="E133" s="390"/>
      <c r="F133" s="390"/>
      <c r="G133" s="390"/>
      <c r="H133" s="390"/>
      <c r="I133" s="390"/>
      <c r="J133" s="390"/>
      <c r="K133" s="390"/>
      <c r="L133" s="390"/>
      <c r="M133" s="390"/>
      <c r="N133" s="390"/>
    </row>
    <row r="134" spans="1:14">
      <c r="A134" s="390"/>
      <c r="B134" s="390"/>
      <c r="C134" s="390"/>
      <c r="D134" s="390"/>
      <c r="E134" s="390"/>
      <c r="F134" s="390"/>
      <c r="G134" s="390"/>
      <c r="H134" s="390"/>
      <c r="I134" s="390"/>
      <c r="J134" s="390"/>
      <c r="K134" s="390"/>
      <c r="L134" s="390"/>
      <c r="M134" s="390"/>
      <c r="N134" s="390"/>
    </row>
    <row r="135" spans="1:14">
      <c r="A135" s="390"/>
      <c r="B135" s="390"/>
      <c r="C135" s="390"/>
      <c r="D135" s="390"/>
      <c r="E135" s="390"/>
      <c r="F135" s="390"/>
      <c r="G135" s="390"/>
      <c r="H135" s="390"/>
      <c r="I135" s="390"/>
      <c r="J135" s="390"/>
      <c r="K135" s="390"/>
      <c r="L135" s="390"/>
      <c r="M135" s="390"/>
      <c r="N135" s="390"/>
    </row>
    <row r="136" spans="1:14">
      <c r="A136" s="390"/>
      <c r="B136" s="390"/>
      <c r="C136" s="390"/>
      <c r="D136" s="390"/>
      <c r="E136" s="390"/>
      <c r="F136" s="390"/>
      <c r="G136" s="390"/>
      <c r="H136" s="390"/>
      <c r="I136" s="390"/>
      <c r="J136" s="390"/>
      <c r="K136" s="390"/>
      <c r="L136" s="390"/>
      <c r="M136" s="390"/>
      <c r="N136" s="390"/>
    </row>
    <row r="137" spans="1:14">
      <c r="A137" s="390"/>
      <c r="B137" s="390"/>
      <c r="C137" s="390"/>
      <c r="D137" s="390"/>
      <c r="E137" s="390"/>
      <c r="F137" s="390"/>
      <c r="G137" s="390"/>
      <c r="H137" s="390"/>
      <c r="I137" s="390"/>
      <c r="J137" s="390"/>
      <c r="K137" s="390"/>
      <c r="L137" s="390"/>
      <c r="M137" s="390"/>
      <c r="N137" s="390"/>
    </row>
    <row r="138" spans="1:14">
      <c r="A138" s="390"/>
      <c r="B138" s="390"/>
      <c r="C138" s="390"/>
      <c r="D138" s="390"/>
      <c r="E138" s="390"/>
      <c r="F138" s="390"/>
      <c r="G138" s="390"/>
      <c r="H138" s="390"/>
      <c r="I138" s="390"/>
      <c r="J138" s="390"/>
      <c r="K138" s="390"/>
      <c r="L138" s="390"/>
      <c r="M138" s="390"/>
      <c r="N138" s="390"/>
    </row>
    <row r="139" spans="1:14">
      <c r="A139" s="390"/>
      <c r="B139" s="390"/>
      <c r="C139" s="390"/>
      <c r="D139" s="390"/>
      <c r="E139" s="390"/>
      <c r="F139" s="390"/>
      <c r="G139" s="390"/>
      <c r="H139" s="390"/>
      <c r="I139" s="390"/>
      <c r="J139" s="390"/>
      <c r="K139" s="390"/>
      <c r="L139" s="390"/>
      <c r="M139" s="390"/>
      <c r="N139" s="390"/>
    </row>
    <row r="140" spans="1:14">
      <c r="A140" s="390"/>
      <c r="B140" s="390"/>
      <c r="C140" s="390"/>
      <c r="D140" s="390"/>
      <c r="E140" s="390"/>
      <c r="F140" s="390"/>
      <c r="G140" s="390"/>
      <c r="H140" s="390"/>
      <c r="I140" s="390"/>
      <c r="J140" s="390"/>
      <c r="K140" s="390"/>
      <c r="L140" s="390"/>
      <c r="M140" s="390"/>
      <c r="N140" s="390"/>
    </row>
    <row r="141" spans="1:14">
      <c r="A141" s="390"/>
      <c r="B141" s="390"/>
      <c r="C141" s="390"/>
      <c r="D141" s="390"/>
      <c r="E141" s="390"/>
      <c r="F141" s="390"/>
      <c r="G141" s="390"/>
      <c r="H141" s="390"/>
      <c r="I141" s="390"/>
      <c r="J141" s="390"/>
      <c r="K141" s="390"/>
      <c r="L141" s="390"/>
      <c r="M141" s="390"/>
      <c r="N141" s="390"/>
    </row>
    <row r="142" spans="1:14">
      <c r="A142" s="390"/>
      <c r="B142" s="390"/>
      <c r="C142" s="390"/>
      <c r="D142" s="390"/>
      <c r="E142" s="390"/>
      <c r="F142" s="390"/>
      <c r="G142" s="390"/>
      <c r="H142" s="390"/>
      <c r="I142" s="390"/>
      <c r="J142" s="390"/>
      <c r="K142" s="390"/>
      <c r="L142" s="390"/>
      <c r="M142" s="390"/>
      <c r="N142" s="390"/>
    </row>
    <row r="143" spans="1:14">
      <c r="A143" s="390"/>
      <c r="B143" s="390"/>
      <c r="C143" s="390"/>
      <c r="D143" s="390"/>
      <c r="E143" s="390"/>
      <c r="F143" s="390"/>
      <c r="G143" s="390"/>
      <c r="H143" s="390"/>
      <c r="I143" s="390"/>
      <c r="J143" s="390"/>
      <c r="K143" s="390"/>
      <c r="L143" s="390"/>
      <c r="M143" s="390"/>
      <c r="N143" s="390"/>
    </row>
    <row r="144" spans="1:14">
      <c r="A144" s="390"/>
      <c r="B144" s="390"/>
      <c r="C144" s="390"/>
      <c r="D144" s="390"/>
      <c r="E144" s="390"/>
      <c r="F144" s="390"/>
      <c r="G144" s="390"/>
      <c r="H144" s="390"/>
      <c r="I144" s="390"/>
      <c r="J144" s="390"/>
      <c r="K144" s="390"/>
      <c r="L144" s="390"/>
      <c r="M144" s="390"/>
      <c r="N144" s="390"/>
    </row>
    <row r="145" spans="1:14">
      <c r="A145" s="390"/>
      <c r="B145" s="390"/>
      <c r="C145" s="390"/>
      <c r="D145" s="390"/>
      <c r="E145" s="390"/>
      <c r="F145" s="390"/>
      <c r="G145" s="390"/>
      <c r="H145" s="390"/>
      <c r="I145" s="390"/>
      <c r="J145" s="390"/>
      <c r="K145" s="390"/>
      <c r="L145" s="390"/>
      <c r="M145" s="390"/>
      <c r="N145" s="390"/>
    </row>
    <row r="146" spans="1:14">
      <c r="A146" s="390"/>
      <c r="B146" s="390"/>
      <c r="C146" s="390"/>
      <c r="D146" s="390"/>
      <c r="E146" s="390"/>
      <c r="F146" s="390"/>
      <c r="G146" s="390"/>
      <c r="H146" s="390"/>
      <c r="I146" s="390"/>
      <c r="J146" s="390"/>
      <c r="K146" s="390"/>
      <c r="L146" s="390"/>
      <c r="M146" s="390"/>
      <c r="N146" s="390"/>
    </row>
    <row r="147" spans="1:14">
      <c r="A147" s="390"/>
      <c r="B147" s="390"/>
      <c r="C147" s="390"/>
      <c r="D147" s="390"/>
      <c r="E147" s="390"/>
      <c r="F147" s="390"/>
      <c r="G147" s="390"/>
      <c r="H147" s="390"/>
      <c r="I147" s="390"/>
      <c r="J147" s="390"/>
      <c r="K147" s="390"/>
      <c r="L147" s="390"/>
      <c r="M147" s="390"/>
      <c r="N147" s="390"/>
    </row>
    <row r="148" spans="1:14">
      <c r="A148" s="390"/>
      <c r="B148" s="390"/>
      <c r="C148" s="390"/>
      <c r="D148" s="390"/>
      <c r="E148" s="390"/>
      <c r="F148" s="390"/>
      <c r="G148" s="390"/>
      <c r="H148" s="390"/>
      <c r="I148" s="390"/>
      <c r="J148" s="390"/>
      <c r="K148" s="390"/>
      <c r="L148" s="390"/>
      <c r="M148" s="390"/>
      <c r="N148" s="390"/>
    </row>
    <row r="149" spans="1:14">
      <c r="A149" s="390"/>
      <c r="B149" s="390"/>
      <c r="C149" s="390"/>
      <c r="D149" s="390"/>
      <c r="E149" s="390"/>
      <c r="F149" s="390"/>
      <c r="G149" s="390"/>
      <c r="H149" s="390"/>
      <c r="I149" s="390"/>
      <c r="J149" s="390"/>
      <c r="K149" s="390"/>
      <c r="L149" s="390"/>
      <c r="M149" s="390"/>
      <c r="N149" s="390"/>
    </row>
    <row r="150" spans="1:14">
      <c r="A150" s="390"/>
      <c r="B150" s="390"/>
      <c r="C150" s="390"/>
      <c r="D150" s="390"/>
      <c r="E150" s="390"/>
      <c r="F150" s="390"/>
      <c r="G150" s="390"/>
      <c r="H150" s="390"/>
      <c r="I150" s="390"/>
      <c r="J150" s="390"/>
      <c r="K150" s="390"/>
      <c r="L150" s="390"/>
      <c r="M150" s="390"/>
      <c r="N150" s="390"/>
    </row>
    <row r="151" spans="1:14">
      <c r="A151" s="390"/>
      <c r="B151" s="390"/>
      <c r="C151" s="390"/>
      <c r="D151" s="390"/>
      <c r="E151" s="390"/>
      <c r="F151" s="390"/>
      <c r="G151" s="390"/>
      <c r="H151" s="390"/>
      <c r="I151" s="390"/>
      <c r="J151" s="390"/>
      <c r="K151" s="390"/>
      <c r="L151" s="390"/>
      <c r="M151" s="390"/>
      <c r="N151" s="390"/>
    </row>
    <row r="152" spans="1:14">
      <c r="A152" s="390"/>
      <c r="B152" s="390"/>
      <c r="C152" s="390"/>
      <c r="D152" s="390"/>
      <c r="E152" s="390"/>
      <c r="F152" s="390"/>
      <c r="G152" s="390"/>
      <c r="H152" s="390"/>
      <c r="I152" s="390"/>
      <c r="J152" s="390"/>
      <c r="K152" s="390"/>
      <c r="L152" s="390"/>
      <c r="M152" s="390"/>
      <c r="N152" s="390"/>
    </row>
    <row r="153" spans="1:14">
      <c r="A153" s="390"/>
      <c r="B153" s="390"/>
      <c r="C153" s="390"/>
      <c r="D153" s="390"/>
      <c r="E153" s="390"/>
      <c r="F153" s="390"/>
      <c r="G153" s="390"/>
      <c r="H153" s="390"/>
      <c r="I153" s="390"/>
      <c r="J153" s="390"/>
      <c r="K153" s="390"/>
      <c r="L153" s="390"/>
      <c r="M153" s="390"/>
      <c r="N153" s="390"/>
    </row>
    <row r="154" spans="1:14">
      <c r="A154" s="390"/>
      <c r="B154" s="390"/>
      <c r="C154" s="390"/>
      <c r="D154" s="390"/>
      <c r="E154" s="390"/>
      <c r="F154" s="390"/>
      <c r="G154" s="390"/>
      <c r="H154" s="390"/>
      <c r="I154" s="390"/>
      <c r="J154" s="390"/>
      <c r="K154" s="390"/>
      <c r="L154" s="390"/>
      <c r="M154" s="390"/>
      <c r="N154" s="390"/>
    </row>
    <row r="155" spans="1:14">
      <c r="A155" s="390"/>
      <c r="B155" s="390"/>
      <c r="C155" s="390"/>
      <c r="D155" s="390"/>
      <c r="E155" s="390"/>
      <c r="F155" s="390"/>
      <c r="G155" s="390"/>
      <c r="H155" s="390"/>
      <c r="I155" s="390"/>
      <c r="J155" s="390"/>
      <c r="K155" s="390"/>
      <c r="L155" s="390"/>
      <c r="M155" s="390"/>
      <c r="N155" s="390"/>
    </row>
    <row r="156" spans="1:14">
      <c r="A156" s="390"/>
      <c r="B156" s="390"/>
      <c r="C156" s="390"/>
      <c r="D156" s="390"/>
      <c r="E156" s="390"/>
      <c r="F156" s="390"/>
      <c r="G156" s="390"/>
      <c r="H156" s="390"/>
      <c r="I156" s="390"/>
      <c r="J156" s="390"/>
      <c r="K156" s="390"/>
      <c r="L156" s="390"/>
      <c r="M156" s="390"/>
      <c r="N156" s="390"/>
    </row>
    <row r="157" spans="1:14">
      <c r="A157" s="390"/>
      <c r="B157" s="390"/>
      <c r="C157" s="390"/>
      <c r="D157" s="390"/>
      <c r="E157" s="390"/>
      <c r="F157" s="390"/>
      <c r="G157" s="390"/>
      <c r="H157" s="390"/>
      <c r="I157" s="390"/>
      <c r="J157" s="390"/>
      <c r="K157" s="390"/>
      <c r="L157" s="390"/>
      <c r="M157" s="390"/>
      <c r="N157" s="390"/>
    </row>
  </sheetData>
  <mergeCells count="4">
    <mergeCell ref="A1:N1"/>
    <mergeCell ref="A3:N3"/>
    <mergeCell ref="A5:N5"/>
    <mergeCell ref="A6:N6"/>
  </mergeCells>
  <phoneticPr fontId="14" type="noConversion"/>
  <printOptions horizontalCentered="1"/>
  <pageMargins left="0.25" right="0.25" top="0.75" bottom="0.5" header="0" footer="0.25"/>
  <pageSetup scale="72" fitToWidth="0" fitToHeight="0" orientation="portrait" horizontalDpi="300" verticalDpi="300" r:id="rId1"/>
  <headerFooter scaleWithDoc="0" alignWithMargins="0">
    <oddFooter xml:space="preserve">&amp;C&amp;"Times New Roman,Regular"&amp;10See accompanying summary of significant forecast assumptions. </oddFooter>
  </headerFooter>
  <rowBreaks count="1" manualBreakCount="1">
    <brk id="2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I11"/>
  <sheetViews>
    <sheetView zoomScaleNormal="100" workbookViewId="0">
      <selection sqref="A1:I1"/>
    </sheetView>
  </sheetViews>
  <sheetFormatPr defaultColWidth="8" defaultRowHeight="15.75"/>
  <cols>
    <col min="1" max="1" width="5.88671875" style="385" customWidth="1"/>
    <col min="2" max="3" width="7.88671875" style="385" customWidth="1"/>
    <col min="4" max="4" width="11.109375" style="385" customWidth="1"/>
    <col min="5" max="5" width="11.5546875" style="385" customWidth="1"/>
    <col min="6" max="6" width="10.21875" style="385" customWidth="1"/>
    <col min="7" max="7" width="11.109375" style="385" customWidth="1"/>
    <col min="8" max="8" width="9.109375" style="385" customWidth="1"/>
    <col min="9" max="9" width="8.88671875" style="385" customWidth="1"/>
    <col min="10" max="16384" width="8" style="385"/>
  </cols>
  <sheetData>
    <row r="1" spans="1:9" ht="16.5" customHeight="1">
      <c r="A1" s="944" t="str">
        <f>+'Fly Sheet'!A15:H15</f>
        <v>Consolidated Disposal Services, Inc.</v>
      </c>
      <c r="B1" s="945"/>
      <c r="C1" s="945"/>
      <c r="D1" s="945"/>
      <c r="E1" s="945"/>
      <c r="F1" s="945"/>
      <c r="G1" s="945"/>
      <c r="H1" s="945"/>
      <c r="I1" s="945"/>
    </row>
    <row r="2" spans="1:9" ht="13.5" customHeight="1">
      <c r="A2" s="945"/>
      <c r="B2" s="945"/>
      <c r="C2" s="945"/>
      <c r="D2" s="945"/>
      <c r="E2" s="945"/>
      <c r="F2" s="945"/>
      <c r="G2" s="945"/>
      <c r="H2" s="945"/>
      <c r="I2" s="945"/>
    </row>
    <row r="3" spans="1:9" ht="16.5">
      <c r="A3" s="945" t="s">
        <v>100</v>
      </c>
      <c r="B3" s="945"/>
      <c r="C3" s="945"/>
      <c r="D3" s="945"/>
      <c r="E3" s="945"/>
      <c r="F3" s="945"/>
      <c r="G3" s="945"/>
      <c r="H3" s="945"/>
      <c r="I3" s="945"/>
    </row>
    <row r="4" spans="1:9" ht="15.75" customHeight="1">
      <c r="A4" s="403"/>
      <c r="B4" s="403"/>
      <c r="C4" s="403"/>
      <c r="D4" s="403"/>
      <c r="E4" s="403"/>
      <c r="F4" s="403"/>
      <c r="G4" s="403"/>
      <c r="H4" s="403"/>
      <c r="I4" s="403"/>
    </row>
    <row r="5" spans="1:9" ht="15.75" customHeight="1">
      <c r="A5" s="946" t="str">
        <f>'Fly Sheet'!$A$20</f>
        <v>For the Twelve Months Ended December 31, 2023 Historical and March 31, 2026 Forecasted</v>
      </c>
      <c r="B5" s="947"/>
      <c r="C5" s="947"/>
      <c r="D5" s="947"/>
      <c r="E5" s="947"/>
      <c r="F5" s="947"/>
      <c r="G5" s="947"/>
      <c r="H5" s="947"/>
      <c r="I5" s="947"/>
    </row>
    <row r="6" spans="1:9" ht="15.75" customHeight="1">
      <c r="A6" s="946"/>
      <c r="B6" s="947"/>
      <c r="C6" s="947"/>
      <c r="D6" s="947"/>
      <c r="E6" s="947"/>
      <c r="F6" s="947"/>
      <c r="G6" s="947"/>
      <c r="H6" s="947"/>
      <c r="I6" s="947"/>
    </row>
    <row r="7" spans="1:9" ht="32.450000000000003" customHeight="1">
      <c r="A7" s="385" t="s">
        <v>55</v>
      </c>
      <c r="B7" s="941" t="s">
        <v>807</v>
      </c>
      <c r="C7" s="941"/>
      <c r="D7" s="941"/>
      <c r="E7" s="941"/>
      <c r="F7" s="941"/>
      <c r="G7" s="941"/>
    </row>
    <row r="8" spans="1:9">
      <c r="A8" s="385" t="s">
        <v>56</v>
      </c>
      <c r="B8" s="949" t="s">
        <v>961</v>
      </c>
      <c r="C8" s="949"/>
      <c r="D8" s="949"/>
      <c r="E8" s="949"/>
      <c r="F8" s="949"/>
      <c r="G8" s="949"/>
      <c r="H8" s="405"/>
      <c r="I8" s="405"/>
    </row>
    <row r="9" spans="1:9">
      <c r="B9" s="941"/>
      <c r="C9" s="941"/>
      <c r="D9" s="941"/>
      <c r="E9" s="941"/>
      <c r="F9" s="941"/>
      <c r="G9" s="941"/>
      <c r="H9" s="405"/>
      <c r="I9" s="405"/>
    </row>
    <row r="11" spans="1:9">
      <c r="D11" s="888"/>
      <c r="E11" s="889"/>
      <c r="F11" s="551"/>
    </row>
  </sheetData>
  <mergeCells count="8">
    <mergeCell ref="B7:G7"/>
    <mergeCell ref="B9:G9"/>
    <mergeCell ref="A1:I1"/>
    <mergeCell ref="A3:I3"/>
    <mergeCell ref="A5:I5"/>
    <mergeCell ref="A6:I6"/>
    <mergeCell ref="A2:I2"/>
    <mergeCell ref="B8:G8"/>
  </mergeCells>
  <phoneticPr fontId="14" type="noConversion"/>
  <printOptions horizontalCentered="1"/>
  <pageMargins left="0.9" right="0.7" top="0.75" bottom="0.5" header="0" footer="0.25"/>
  <pageSetup scale="79" fitToHeight="3" orientation="portrait" horizontalDpi="300" verticalDpi="300" r:id="rId1"/>
  <headerFooter alignWithMargins="0">
    <oddFooter xml:space="preserve">&amp;C&amp;"Times New Roman,Regular"&amp;10See accompanying summary of significant forecast assumptions.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85"/>
  <sheetViews>
    <sheetView zoomScaleNormal="100" workbookViewId="0">
      <selection sqref="A1:L1"/>
    </sheetView>
  </sheetViews>
  <sheetFormatPr defaultColWidth="8" defaultRowHeight="15.75"/>
  <cols>
    <col min="1" max="1" width="30.6640625" style="387" customWidth="1"/>
    <col min="2" max="2" width="9.88671875" style="387" bestFit="1" customWidth="1"/>
    <col min="3" max="3" width="2.88671875" style="387" customWidth="1"/>
    <col min="4" max="4" width="8.109375" style="387" bestFit="1" customWidth="1"/>
    <col min="5" max="5" width="2.88671875" style="387" customWidth="1"/>
    <col min="6" max="6" width="7.88671875" style="387" customWidth="1"/>
    <col min="7" max="7" width="2.88671875" style="387" customWidth="1"/>
    <col min="8" max="8" width="7.88671875" style="387" customWidth="1"/>
    <col min="9" max="9" width="2.6640625" style="387" customWidth="1"/>
    <col min="10" max="10" width="8.88671875" style="387" customWidth="1"/>
    <col min="11" max="11" width="2.88671875" style="387" customWidth="1"/>
    <col min="12" max="12" width="11.6640625" style="387" bestFit="1" customWidth="1"/>
    <col min="13" max="13" width="4.109375" style="385" customWidth="1"/>
    <col min="14" max="16384" width="8" style="385"/>
  </cols>
  <sheetData>
    <row r="1" spans="1:14" ht="16.5" customHeight="1">
      <c r="A1" s="944" t="str">
        <f>+'Sch 3 - Reclass Exp'!A1:I1</f>
        <v>Consolidated Disposal Services, Inc.</v>
      </c>
      <c r="B1" s="945"/>
      <c r="C1" s="945"/>
      <c r="D1" s="945"/>
      <c r="E1" s="945"/>
      <c r="F1" s="945"/>
      <c r="G1" s="945"/>
      <c r="H1" s="945"/>
      <c r="I1" s="945"/>
      <c r="J1" s="945"/>
      <c r="K1" s="945"/>
      <c r="L1" s="945"/>
      <c r="M1" s="388" t="s">
        <v>189</v>
      </c>
      <c r="N1" s="389" t="s">
        <v>219</v>
      </c>
    </row>
    <row r="2" spans="1:14" ht="13.5" customHeight="1">
      <c r="A2" s="945"/>
      <c r="B2" s="945"/>
      <c r="C2" s="945"/>
      <c r="D2" s="945"/>
      <c r="E2" s="945"/>
      <c r="F2" s="945"/>
      <c r="G2" s="945"/>
      <c r="H2" s="945"/>
      <c r="I2" s="945"/>
      <c r="J2" s="945"/>
      <c r="K2" s="945"/>
      <c r="L2" s="945"/>
      <c r="M2" s="388" t="s">
        <v>190</v>
      </c>
      <c r="N2" s="389" t="s">
        <v>194</v>
      </c>
    </row>
    <row r="3" spans="1:14" ht="16.5">
      <c r="A3" s="945" t="s">
        <v>110</v>
      </c>
      <c r="B3" s="945"/>
      <c r="C3" s="945"/>
      <c r="D3" s="945"/>
      <c r="E3" s="945"/>
      <c r="F3" s="945"/>
      <c r="G3" s="945"/>
      <c r="H3" s="945"/>
      <c r="I3" s="945"/>
      <c r="J3" s="945"/>
      <c r="K3" s="945"/>
      <c r="L3" s="945"/>
      <c r="M3" s="388" t="s">
        <v>191</v>
      </c>
      <c r="N3" s="389" t="s">
        <v>220</v>
      </c>
    </row>
    <row r="4" spans="1:14" ht="15.75" customHeight="1">
      <c r="A4" s="403"/>
      <c r="B4" s="403"/>
      <c r="C4" s="403"/>
      <c r="D4" s="403"/>
      <c r="E4" s="403"/>
      <c r="F4" s="403"/>
      <c r="G4" s="403"/>
      <c r="H4" s="403"/>
      <c r="I4" s="403"/>
      <c r="J4" s="403"/>
      <c r="K4" s="403"/>
      <c r="L4" s="403"/>
      <c r="M4" s="388" t="s">
        <v>192</v>
      </c>
      <c r="N4" s="389" t="s">
        <v>193</v>
      </c>
    </row>
    <row r="5" spans="1:14" ht="15.75" customHeight="1">
      <c r="A5" s="946" t="str">
        <f>'Fly Sheet'!$A$20</f>
        <v>For the Twelve Months Ended December 31, 2023 Historical and March 31, 2026 Forecasted</v>
      </c>
      <c r="B5" s="947"/>
      <c r="C5" s="947"/>
      <c r="D5" s="947"/>
      <c r="E5" s="947"/>
      <c r="F5" s="947"/>
      <c r="G5" s="947"/>
      <c r="H5" s="947"/>
      <c r="I5" s="947"/>
      <c r="J5" s="947"/>
      <c r="K5" s="947"/>
      <c r="L5" s="947"/>
    </row>
    <row r="6" spans="1:14" ht="15.75" customHeight="1">
      <c r="A6" s="946"/>
      <c r="B6" s="947"/>
      <c r="C6" s="947"/>
      <c r="D6" s="947"/>
      <c r="E6" s="947"/>
      <c r="F6" s="947"/>
      <c r="G6" s="947"/>
      <c r="H6" s="947"/>
      <c r="I6" s="947"/>
      <c r="J6" s="947"/>
      <c r="K6" s="947"/>
      <c r="L6" s="947"/>
    </row>
    <row r="7" spans="1:14" ht="15.75" customHeight="1">
      <c r="A7" s="385"/>
      <c r="B7" s="404"/>
      <c r="C7" s="404"/>
      <c r="D7" s="404"/>
      <c r="E7" s="404"/>
      <c r="F7" s="404"/>
      <c r="G7" s="404"/>
      <c r="H7" s="404"/>
      <c r="I7" s="404"/>
      <c r="J7" s="404"/>
      <c r="K7" s="404"/>
      <c r="L7" s="404"/>
    </row>
    <row r="8" spans="1:14" s="420" customFormat="1" ht="14.1" customHeight="1">
      <c r="B8" s="421" t="s">
        <v>55</v>
      </c>
      <c r="C8" s="421"/>
      <c r="D8" s="421" t="s">
        <v>56</v>
      </c>
      <c r="E8" s="421"/>
      <c r="F8" s="421" t="s">
        <v>57</v>
      </c>
      <c r="G8" s="421"/>
      <c r="H8" s="421" t="s">
        <v>393</v>
      </c>
      <c r="I8" s="421"/>
      <c r="J8" s="421" t="s">
        <v>398</v>
      </c>
      <c r="K8" s="421"/>
      <c r="L8" s="421" t="s">
        <v>5</v>
      </c>
    </row>
    <row r="9" spans="1:14" s="425" customFormat="1" ht="12.95" customHeight="1">
      <c r="A9" s="422"/>
      <c r="B9" s="423"/>
      <c r="C9" s="423"/>
      <c r="D9" s="423"/>
      <c r="E9" s="424"/>
      <c r="F9" s="423"/>
      <c r="G9" s="423"/>
      <c r="H9" s="423"/>
      <c r="I9" s="423"/>
      <c r="J9" s="423"/>
      <c r="K9" s="423"/>
      <c r="L9" s="423" t="s">
        <v>0</v>
      </c>
    </row>
    <row r="10" spans="1:14" s="425" customFormat="1" ht="12.95" customHeight="1">
      <c r="A10" s="422"/>
      <c r="B10" s="423" t="s">
        <v>34</v>
      </c>
      <c r="C10" s="423"/>
      <c r="D10" s="423" t="s">
        <v>34</v>
      </c>
      <c r="E10" s="423"/>
      <c r="F10" s="641"/>
      <c r="G10" s="423"/>
      <c r="H10" s="423"/>
      <c r="I10" s="423"/>
      <c r="J10" s="423"/>
      <c r="K10" s="423"/>
      <c r="L10" s="423" t="s">
        <v>34</v>
      </c>
    </row>
    <row r="11" spans="1:14" s="425" customFormat="1" ht="12.95" customHeight="1">
      <c r="A11" s="422"/>
      <c r="B11" s="426" t="s">
        <v>7</v>
      </c>
      <c r="C11" s="427"/>
      <c r="D11" s="426" t="s">
        <v>58</v>
      </c>
      <c r="E11" s="423"/>
      <c r="F11" s="642"/>
      <c r="G11" s="423"/>
      <c r="H11" s="426"/>
      <c r="I11" s="426"/>
      <c r="J11" s="426"/>
      <c r="K11" s="426"/>
      <c r="L11" s="426" t="s">
        <v>25</v>
      </c>
    </row>
    <row r="12" spans="1:14">
      <c r="A12" s="454" t="str">
        <f>+'Sch 1, pg 2 - Restated'!A12</f>
        <v>REVENUES</v>
      </c>
      <c r="B12" s="390"/>
      <c r="C12" s="390"/>
      <c r="D12" s="390"/>
      <c r="E12" s="390"/>
      <c r="F12" s="390"/>
      <c r="G12" s="390"/>
      <c r="H12" s="390"/>
      <c r="I12" s="390"/>
      <c r="J12" s="390"/>
      <c r="K12" s="390"/>
      <c r="L12" s="390"/>
    </row>
    <row r="13" spans="1:14" ht="15" customHeight="1">
      <c r="A13" s="9" t="s">
        <v>732</v>
      </c>
      <c r="B13" s="394">
        <v>0</v>
      </c>
      <c r="C13" s="394"/>
      <c r="D13" s="394">
        <v>0</v>
      </c>
      <c r="E13" s="394"/>
      <c r="F13" s="394">
        <v>0</v>
      </c>
      <c r="G13" s="394"/>
      <c r="H13" s="394">
        <v>0</v>
      </c>
      <c r="I13" s="394"/>
      <c r="J13" s="394">
        <v>0</v>
      </c>
      <c r="K13" s="394"/>
      <c r="L13" s="394">
        <f>SUM(B13:J13)</f>
        <v>0</v>
      </c>
    </row>
    <row r="14" spans="1:14" ht="15" customHeight="1">
      <c r="A14" s="9" t="s">
        <v>733</v>
      </c>
      <c r="B14" s="395">
        <v>0</v>
      </c>
      <c r="C14" s="395"/>
      <c r="D14" s="395">
        <v>0</v>
      </c>
      <c r="E14" s="395"/>
      <c r="F14" s="395">
        <v>0</v>
      </c>
      <c r="G14" s="395"/>
      <c r="H14" s="395">
        <v>0</v>
      </c>
      <c r="I14" s="395"/>
      <c r="J14" s="395">
        <v>0</v>
      </c>
      <c r="K14" s="395"/>
      <c r="L14" s="395">
        <f t="shared" ref="L14:L28" si="0">SUM(B14:J14)</f>
        <v>0</v>
      </c>
    </row>
    <row r="15" spans="1:14" ht="15" customHeight="1">
      <c r="A15" s="9" t="s">
        <v>734</v>
      </c>
      <c r="B15" s="395">
        <v>0</v>
      </c>
      <c r="C15" s="395"/>
      <c r="D15" s="395">
        <v>0</v>
      </c>
      <c r="E15" s="395"/>
      <c r="F15" s="395">
        <v>0</v>
      </c>
      <c r="G15" s="395"/>
      <c r="H15" s="395">
        <v>0</v>
      </c>
      <c r="I15" s="395"/>
      <c r="J15" s="395">
        <v>0</v>
      </c>
      <c r="K15" s="395"/>
      <c r="L15" s="395">
        <f t="shared" si="0"/>
        <v>0</v>
      </c>
    </row>
    <row r="16" spans="1:14" ht="15" customHeight="1">
      <c r="A16" s="9" t="s">
        <v>735</v>
      </c>
      <c r="B16" s="395">
        <v>0</v>
      </c>
      <c r="C16" s="395"/>
      <c r="D16" s="395">
        <v>0</v>
      </c>
      <c r="E16" s="395"/>
      <c r="F16" s="395">
        <v>0</v>
      </c>
      <c r="G16" s="395"/>
      <c r="H16" s="395">
        <v>0</v>
      </c>
      <c r="I16" s="395"/>
      <c r="J16" s="395">
        <v>0</v>
      </c>
      <c r="K16" s="395"/>
      <c r="L16" s="395">
        <f t="shared" si="0"/>
        <v>0</v>
      </c>
    </row>
    <row r="17" spans="1:12" ht="15" customHeight="1">
      <c r="A17" s="9" t="s">
        <v>736</v>
      </c>
      <c r="B17" s="395">
        <v>0</v>
      </c>
      <c r="C17" s="395"/>
      <c r="D17" s="395">
        <v>0</v>
      </c>
      <c r="E17" s="395"/>
      <c r="F17" s="395">
        <v>0</v>
      </c>
      <c r="G17" s="395"/>
      <c r="H17" s="395">
        <v>0</v>
      </c>
      <c r="I17" s="395"/>
      <c r="J17" s="395">
        <v>0</v>
      </c>
      <c r="K17" s="395"/>
      <c r="L17" s="395">
        <f t="shared" si="0"/>
        <v>0</v>
      </c>
    </row>
    <row r="18" spans="1:12" ht="15" customHeight="1">
      <c r="A18" s="9" t="s">
        <v>737</v>
      </c>
      <c r="B18" s="395">
        <v>0</v>
      </c>
      <c r="C18" s="395"/>
      <c r="D18" s="395">
        <v>0</v>
      </c>
      <c r="E18" s="395"/>
      <c r="F18" s="395">
        <f>-F15</f>
        <v>0</v>
      </c>
      <c r="G18" s="395"/>
      <c r="H18" s="395">
        <f>-H15</f>
        <v>0</v>
      </c>
      <c r="I18" s="395"/>
      <c r="J18" s="395">
        <v>0</v>
      </c>
      <c r="K18" s="395"/>
      <c r="L18" s="395">
        <f t="shared" si="0"/>
        <v>0</v>
      </c>
    </row>
    <row r="19" spans="1:12" ht="15" customHeight="1">
      <c r="A19" s="9" t="s">
        <v>738</v>
      </c>
      <c r="B19" s="395">
        <v>0</v>
      </c>
      <c r="C19" s="395"/>
      <c r="D19" s="395">
        <v>0</v>
      </c>
      <c r="E19" s="395"/>
      <c r="F19" s="395">
        <f t="shared" ref="F19:F22" si="1">-F16</f>
        <v>0</v>
      </c>
      <c r="G19" s="395"/>
      <c r="H19" s="395">
        <f t="shared" ref="H19:H22" si="2">-H16</f>
        <v>0</v>
      </c>
      <c r="I19" s="395"/>
      <c r="J19" s="395">
        <v>0</v>
      </c>
      <c r="K19" s="395"/>
      <c r="L19" s="395">
        <f t="shared" si="0"/>
        <v>0</v>
      </c>
    </row>
    <row r="20" spans="1:12" ht="15" customHeight="1">
      <c r="A20" s="9" t="s">
        <v>739</v>
      </c>
      <c r="B20" s="395">
        <v>0</v>
      </c>
      <c r="C20" s="395"/>
      <c r="D20" s="395">
        <v>0</v>
      </c>
      <c r="E20" s="395"/>
      <c r="F20" s="395">
        <f t="shared" si="1"/>
        <v>0</v>
      </c>
      <c r="G20" s="395"/>
      <c r="H20" s="395">
        <f t="shared" si="2"/>
        <v>0</v>
      </c>
      <c r="I20" s="395"/>
      <c r="J20" s="395">
        <v>0</v>
      </c>
      <c r="K20" s="395"/>
      <c r="L20" s="395">
        <f t="shared" si="0"/>
        <v>0</v>
      </c>
    </row>
    <row r="21" spans="1:12" ht="15" customHeight="1">
      <c r="A21" s="9" t="s">
        <v>740</v>
      </c>
      <c r="B21" s="395">
        <v>0</v>
      </c>
      <c r="C21" s="395"/>
      <c r="D21" s="395">
        <v>0</v>
      </c>
      <c r="E21" s="395"/>
      <c r="F21" s="395">
        <f t="shared" si="1"/>
        <v>0</v>
      </c>
      <c r="G21" s="395"/>
      <c r="H21" s="395">
        <f t="shared" si="2"/>
        <v>0</v>
      </c>
      <c r="I21" s="395"/>
      <c r="J21" s="395">
        <v>0</v>
      </c>
      <c r="K21" s="395"/>
      <c r="L21" s="395">
        <f t="shared" si="0"/>
        <v>0</v>
      </c>
    </row>
    <row r="22" spans="1:12" ht="15" customHeight="1">
      <c r="A22" s="9" t="s">
        <v>741</v>
      </c>
      <c r="B22" s="395">
        <v>0</v>
      </c>
      <c r="C22" s="395"/>
      <c r="D22" s="395">
        <v>0</v>
      </c>
      <c r="E22" s="395"/>
      <c r="F22" s="395">
        <f t="shared" si="1"/>
        <v>0</v>
      </c>
      <c r="G22" s="395"/>
      <c r="H22" s="395">
        <f t="shared" si="2"/>
        <v>0</v>
      </c>
      <c r="I22" s="395"/>
      <c r="J22" s="395">
        <v>0</v>
      </c>
      <c r="K22" s="395"/>
      <c r="L22" s="395">
        <f t="shared" si="0"/>
        <v>0</v>
      </c>
    </row>
    <row r="23" spans="1:12" ht="15" customHeight="1">
      <c r="A23" s="9" t="s">
        <v>742</v>
      </c>
      <c r="B23" s="395">
        <v>0</v>
      </c>
      <c r="C23" s="395"/>
      <c r="D23" s="395">
        <v>0</v>
      </c>
      <c r="E23" s="395"/>
      <c r="F23" s="395">
        <v>0</v>
      </c>
      <c r="G23" s="395"/>
      <c r="H23" s="395">
        <v>0</v>
      </c>
      <c r="I23" s="395"/>
      <c r="J23" s="395">
        <v>0</v>
      </c>
      <c r="K23" s="395"/>
      <c r="L23" s="395">
        <f t="shared" si="0"/>
        <v>0</v>
      </c>
    </row>
    <row r="24" spans="1:12" ht="15" customHeight="1">
      <c r="A24" s="9" t="s">
        <v>743</v>
      </c>
      <c r="B24" s="395">
        <v>0</v>
      </c>
      <c r="C24" s="395"/>
      <c r="D24" s="395">
        <v>0</v>
      </c>
      <c r="E24" s="395"/>
      <c r="F24" s="395">
        <v>0</v>
      </c>
      <c r="G24" s="395"/>
      <c r="H24" s="395">
        <v>0</v>
      </c>
      <c r="I24" s="395"/>
      <c r="J24" s="395">
        <v>0</v>
      </c>
      <c r="K24" s="395"/>
      <c r="L24" s="395">
        <f t="shared" si="0"/>
        <v>0</v>
      </c>
    </row>
    <row r="25" spans="1:12" ht="15" customHeight="1">
      <c r="A25" s="9" t="s">
        <v>746</v>
      </c>
      <c r="B25" s="395">
        <v>0</v>
      </c>
      <c r="C25" s="395"/>
      <c r="D25" s="395">
        <v>0</v>
      </c>
      <c r="E25" s="395"/>
      <c r="F25" s="395">
        <v>0</v>
      </c>
      <c r="G25" s="395"/>
      <c r="H25" s="395">
        <v>0</v>
      </c>
      <c r="I25" s="395"/>
      <c r="J25" s="395">
        <v>0</v>
      </c>
      <c r="K25" s="395"/>
      <c r="L25" s="395">
        <f t="shared" si="0"/>
        <v>0</v>
      </c>
    </row>
    <row r="26" spans="1:12" ht="15" customHeight="1">
      <c r="A26" s="9" t="s">
        <v>744</v>
      </c>
      <c r="B26" s="395">
        <v>0</v>
      </c>
      <c r="C26" s="395"/>
      <c r="D26" s="395">
        <v>0</v>
      </c>
      <c r="E26" s="395"/>
      <c r="F26" s="395">
        <v>0</v>
      </c>
      <c r="G26" s="395"/>
      <c r="H26" s="395">
        <v>0</v>
      </c>
      <c r="I26" s="395"/>
      <c r="J26" s="395">
        <v>0</v>
      </c>
      <c r="K26" s="395"/>
      <c r="L26" s="395">
        <f t="shared" si="0"/>
        <v>0</v>
      </c>
    </row>
    <row r="27" spans="1:12" ht="15" customHeight="1">
      <c r="A27" s="9" t="s">
        <v>745</v>
      </c>
      <c r="B27" s="397">
        <v>0</v>
      </c>
      <c r="C27" s="395"/>
      <c r="D27" s="395">
        <v>0</v>
      </c>
      <c r="E27" s="395"/>
      <c r="F27" s="397">
        <v>0</v>
      </c>
      <c r="G27" s="395"/>
      <c r="H27" s="397">
        <v>0</v>
      </c>
      <c r="I27" s="395"/>
      <c r="J27" s="397">
        <v>0</v>
      </c>
      <c r="K27" s="395"/>
      <c r="L27" s="397">
        <f t="shared" si="0"/>
        <v>0</v>
      </c>
    </row>
    <row r="28" spans="1:12" ht="15" customHeight="1">
      <c r="A28" s="390"/>
      <c r="B28" s="396">
        <f>SUM(B13:B27)</f>
        <v>0</v>
      </c>
      <c r="C28" s="395"/>
      <c r="D28" s="418">
        <f>SUM(D13:D27)</f>
        <v>0</v>
      </c>
      <c r="E28" s="395"/>
      <c r="F28" s="396">
        <f>SUM(F13:F27)</f>
        <v>0</v>
      </c>
      <c r="G28" s="395"/>
      <c r="H28" s="396">
        <f>SUM(H13:H27)</f>
        <v>0</v>
      </c>
      <c r="I28" s="395"/>
      <c r="J28" s="397">
        <v>0</v>
      </c>
      <c r="K28" s="395"/>
      <c r="L28" s="397">
        <f t="shared" si="0"/>
        <v>0</v>
      </c>
    </row>
    <row r="29" spans="1:12" ht="15" customHeight="1">
      <c r="A29" s="390"/>
      <c r="B29" s="395"/>
      <c r="C29" s="395"/>
      <c r="D29" s="395"/>
      <c r="E29" s="395"/>
      <c r="F29" s="395"/>
      <c r="G29" s="395"/>
      <c r="H29" s="395"/>
      <c r="I29" s="395"/>
      <c r="J29" s="395"/>
      <c r="K29" s="395"/>
      <c r="L29" s="395"/>
    </row>
    <row r="30" spans="1:12" ht="15" customHeight="1">
      <c r="A30" s="454" t="str">
        <f>+'Sch 1, pg 2 - Restated'!A30</f>
        <v>OPERATING EXPENSES</v>
      </c>
      <c r="B30" s="395"/>
      <c r="C30" s="395"/>
      <c r="D30" s="395"/>
      <c r="E30" s="395"/>
      <c r="F30" s="395"/>
      <c r="G30" s="395"/>
      <c r="H30" s="395"/>
      <c r="I30" s="395"/>
      <c r="J30" s="395"/>
      <c r="K30" s="395"/>
      <c r="L30" s="395"/>
    </row>
    <row r="31" spans="1:12" ht="15" customHeight="1">
      <c r="A31" s="9" t="s">
        <v>708</v>
      </c>
      <c r="B31" s="395">
        <f>-'WP-2 - Labor Analysis'!AD78</f>
        <v>-1783305.2567262831</v>
      </c>
      <c r="C31" s="395"/>
      <c r="D31" s="395">
        <v>0</v>
      </c>
      <c r="E31" s="395"/>
      <c r="F31" s="395">
        <v>0</v>
      </c>
      <c r="G31" s="395"/>
      <c r="H31" s="395">
        <v>0</v>
      </c>
      <c r="I31" s="395"/>
      <c r="J31" s="395">
        <v>0</v>
      </c>
      <c r="K31" s="395"/>
      <c r="L31" s="395">
        <f>SUM(B31:J31)</f>
        <v>-1783305.2567262831</v>
      </c>
    </row>
    <row r="32" spans="1:12" ht="15" customHeight="1">
      <c r="A32" s="9" t="s">
        <v>771</v>
      </c>
      <c r="B32" s="395">
        <f>+'WP-2 - Labor Analysis'!AD54</f>
        <v>892885.18901979667</v>
      </c>
      <c r="C32" s="395"/>
      <c r="D32" s="395">
        <v>0</v>
      </c>
      <c r="E32" s="395"/>
      <c r="F32" s="395">
        <v>0</v>
      </c>
      <c r="G32" s="395"/>
      <c r="H32" s="395">
        <v>0</v>
      </c>
      <c r="I32" s="395"/>
      <c r="J32" s="395">
        <v>0</v>
      </c>
      <c r="K32" s="395"/>
      <c r="L32" s="395">
        <f t="shared" ref="L32:L36" si="3">SUM(B32:J32)</f>
        <v>892885.18901979667</v>
      </c>
    </row>
    <row r="33" spans="1:14" ht="15" customHeight="1">
      <c r="A33" s="9" t="s">
        <v>772</v>
      </c>
      <c r="B33" s="395">
        <f>+'WP-2 - Labor Analysis'!AD67</f>
        <v>142935.79206465674</v>
      </c>
      <c r="C33" s="395"/>
      <c r="D33" s="395">
        <v>0</v>
      </c>
      <c r="E33" s="395"/>
      <c r="F33" s="395">
        <v>0</v>
      </c>
      <c r="G33" s="395"/>
      <c r="H33" s="395">
        <v>0</v>
      </c>
      <c r="I33" s="395"/>
      <c r="J33" s="395">
        <v>0</v>
      </c>
      <c r="K33" s="395"/>
      <c r="L33" s="395">
        <f t="shared" si="3"/>
        <v>142935.79206465674</v>
      </c>
    </row>
    <row r="34" spans="1:14" ht="15" customHeight="1">
      <c r="A34" s="9" t="s">
        <v>775</v>
      </c>
      <c r="B34" s="395">
        <f>+'WP-2 - Labor Analysis'!AD61</f>
        <v>74046.582935986284</v>
      </c>
      <c r="C34" s="395"/>
      <c r="D34" s="395">
        <v>0</v>
      </c>
      <c r="E34" s="395"/>
      <c r="F34" s="395">
        <v>0</v>
      </c>
      <c r="G34" s="395"/>
      <c r="H34" s="395">
        <v>0</v>
      </c>
      <c r="I34" s="395"/>
      <c r="J34" s="395">
        <v>0</v>
      </c>
      <c r="K34" s="395"/>
      <c r="L34" s="395">
        <f t="shared" si="3"/>
        <v>74046.582935986284</v>
      </c>
    </row>
    <row r="35" spans="1:14" ht="15" customHeight="1">
      <c r="A35" s="9" t="s">
        <v>773</v>
      </c>
      <c r="B35" s="395">
        <f>+'WP-2 - Labor Analysis'!AD21</f>
        <v>481756.47200000001</v>
      </c>
      <c r="C35" s="395"/>
      <c r="D35" s="395">
        <v>0</v>
      </c>
      <c r="E35" s="395"/>
      <c r="F35" s="395">
        <v>0</v>
      </c>
      <c r="G35" s="395"/>
      <c r="H35" s="395">
        <v>0</v>
      </c>
      <c r="I35" s="395"/>
      <c r="J35" s="395">
        <v>0</v>
      </c>
      <c r="K35" s="395"/>
      <c r="L35" s="395">
        <f t="shared" si="3"/>
        <v>481756.47200000001</v>
      </c>
    </row>
    <row r="36" spans="1:14" ht="15" customHeight="1">
      <c r="A36" s="9" t="s">
        <v>774</v>
      </c>
      <c r="B36" s="395">
        <f>+'WP-2 - Labor Analysis'!AD12</f>
        <v>80761.789992450373</v>
      </c>
      <c r="C36" s="395"/>
      <c r="D36" s="395">
        <v>0</v>
      </c>
      <c r="E36" s="395"/>
      <c r="F36" s="395">
        <v>0</v>
      </c>
      <c r="G36" s="395"/>
      <c r="H36" s="395">
        <v>0</v>
      </c>
      <c r="I36" s="395"/>
      <c r="J36" s="395">
        <v>0</v>
      </c>
      <c r="K36" s="395"/>
      <c r="L36" s="395">
        <f t="shared" si="3"/>
        <v>80761.789992450373</v>
      </c>
    </row>
    <row r="37" spans="1:14" ht="15" customHeight="1">
      <c r="A37" s="9" t="s">
        <v>917</v>
      </c>
      <c r="B37" s="395">
        <f>+'WP-2 - Labor Analysis'!AD26+'WP-2 - Labor Analysis'!AD76</f>
        <v>110919.43071339291</v>
      </c>
      <c r="C37" s="395"/>
      <c r="D37" s="395">
        <v>0</v>
      </c>
      <c r="E37" s="395"/>
      <c r="F37" s="395">
        <v>0</v>
      </c>
      <c r="G37" s="395"/>
      <c r="H37" s="395">
        <v>0</v>
      </c>
      <c r="I37" s="395"/>
      <c r="J37" s="395">
        <v>0</v>
      </c>
      <c r="K37" s="395"/>
      <c r="L37" s="395">
        <f t="shared" ref="L37" si="4">SUM(B37:J37)</f>
        <v>110919.43071339291</v>
      </c>
    </row>
    <row r="38" spans="1:14" ht="15" customHeight="1">
      <c r="A38" s="9" t="s">
        <v>726</v>
      </c>
      <c r="B38" s="395">
        <v>0</v>
      </c>
      <c r="C38" s="395"/>
      <c r="D38" s="395">
        <v>0</v>
      </c>
      <c r="E38" s="395"/>
      <c r="F38" s="395">
        <f>-'Sch 3 - Reclass Exp'!F11</f>
        <v>0</v>
      </c>
      <c r="G38" s="395"/>
      <c r="H38" s="395">
        <v>0</v>
      </c>
      <c r="I38" s="395"/>
      <c r="J38" s="395">
        <v>0</v>
      </c>
      <c r="K38" s="395"/>
      <c r="L38" s="395">
        <f t="shared" ref="L38:L79" si="5">SUM(B38:J38)</f>
        <v>0</v>
      </c>
    </row>
    <row r="39" spans="1:14" ht="15" customHeight="1">
      <c r="A39" s="9" t="s">
        <v>347</v>
      </c>
      <c r="B39" s="395">
        <v>0</v>
      </c>
      <c r="C39" s="395"/>
      <c r="D39" s="395">
        <v>0</v>
      </c>
      <c r="E39" s="395"/>
      <c r="F39" s="395">
        <v>0</v>
      </c>
      <c r="G39" s="395"/>
      <c r="H39" s="395">
        <v>0</v>
      </c>
      <c r="I39" s="395"/>
      <c r="J39" s="395">
        <v>0</v>
      </c>
      <c r="K39" s="395"/>
      <c r="L39" s="395">
        <f t="shared" si="5"/>
        <v>0</v>
      </c>
      <c r="N39" s="428"/>
    </row>
    <row r="40" spans="1:14" ht="15" customHeight="1">
      <c r="A40" s="9" t="s">
        <v>71</v>
      </c>
      <c r="B40" s="395">
        <v>0</v>
      </c>
      <c r="C40" s="395"/>
      <c r="D40" s="395">
        <v>0</v>
      </c>
      <c r="E40" s="395"/>
      <c r="F40" s="395">
        <v>0</v>
      </c>
      <c r="G40" s="395"/>
      <c r="H40" s="395">
        <v>0</v>
      </c>
      <c r="I40" s="395"/>
      <c r="J40" s="395">
        <v>0</v>
      </c>
      <c r="K40" s="395"/>
      <c r="L40" s="395">
        <f t="shared" si="5"/>
        <v>0</v>
      </c>
    </row>
    <row r="41" spans="1:14" ht="15" customHeight="1">
      <c r="A41" s="9" t="s">
        <v>727</v>
      </c>
      <c r="B41" s="395">
        <v>0</v>
      </c>
      <c r="C41" s="395"/>
      <c r="D41" s="395">
        <v>0</v>
      </c>
      <c r="E41" s="395"/>
      <c r="F41" s="395">
        <v>0</v>
      </c>
      <c r="G41" s="395"/>
      <c r="H41" s="395">
        <v>0</v>
      </c>
      <c r="I41" s="395"/>
      <c r="J41" s="395">
        <v>0</v>
      </c>
      <c r="K41" s="395"/>
      <c r="L41" s="395">
        <f t="shared" si="5"/>
        <v>0</v>
      </c>
    </row>
    <row r="42" spans="1:14" ht="15" customHeight="1">
      <c r="A42" s="9" t="s">
        <v>348</v>
      </c>
      <c r="B42" s="395">
        <v>0</v>
      </c>
      <c r="C42" s="395"/>
      <c r="D42" s="395">
        <v>0</v>
      </c>
      <c r="E42" s="395"/>
      <c r="F42" s="395">
        <v>0</v>
      </c>
      <c r="G42" s="395"/>
      <c r="H42" s="395">
        <v>0</v>
      </c>
      <c r="I42" s="395"/>
      <c r="J42" s="395">
        <v>0</v>
      </c>
      <c r="K42" s="395"/>
      <c r="L42" s="395">
        <f t="shared" si="5"/>
        <v>0</v>
      </c>
    </row>
    <row r="43" spans="1:14" ht="15" customHeight="1">
      <c r="A43" s="9" t="s">
        <v>722</v>
      </c>
      <c r="B43" s="395">
        <v>0</v>
      </c>
      <c r="C43" s="395"/>
      <c r="D43" s="395">
        <v>0</v>
      </c>
      <c r="E43" s="395"/>
      <c r="F43" s="395">
        <v>0</v>
      </c>
      <c r="G43" s="395"/>
      <c r="H43" s="395">
        <v>0</v>
      </c>
      <c r="I43" s="395"/>
      <c r="J43" s="395">
        <v>0</v>
      </c>
      <c r="K43" s="395"/>
      <c r="L43" s="395">
        <f t="shared" si="5"/>
        <v>0</v>
      </c>
    </row>
    <row r="44" spans="1:14" ht="15" customHeight="1">
      <c r="A44" s="9" t="s">
        <v>349</v>
      </c>
      <c r="B44" s="395">
        <v>0</v>
      </c>
      <c r="C44" s="395"/>
      <c r="D44" s="395">
        <v>0</v>
      </c>
      <c r="E44" s="395"/>
      <c r="F44" s="395">
        <v>0</v>
      </c>
      <c r="G44" s="395"/>
      <c r="H44" s="395">
        <v>0</v>
      </c>
      <c r="I44" s="395"/>
      <c r="J44" s="395">
        <v>0</v>
      </c>
      <c r="K44" s="395"/>
      <c r="L44" s="395">
        <f t="shared" si="5"/>
        <v>0</v>
      </c>
    </row>
    <row r="45" spans="1:14" ht="15" customHeight="1">
      <c r="A45" s="9" t="s">
        <v>711</v>
      </c>
      <c r="B45" s="395">
        <v>0</v>
      </c>
      <c r="C45" s="395"/>
      <c r="D45" s="395">
        <v>0</v>
      </c>
      <c r="E45" s="395"/>
      <c r="F45" s="395">
        <v>0</v>
      </c>
      <c r="G45" s="395"/>
      <c r="H45" s="395">
        <v>0</v>
      </c>
      <c r="I45" s="395"/>
      <c r="J45" s="395">
        <v>0</v>
      </c>
      <c r="K45" s="395"/>
      <c r="L45" s="395">
        <f t="shared" si="5"/>
        <v>0</v>
      </c>
    </row>
    <row r="46" spans="1:14" ht="15" customHeight="1">
      <c r="A46" s="9" t="s">
        <v>705</v>
      </c>
      <c r="B46" s="395">
        <v>0</v>
      </c>
      <c r="C46" s="395"/>
      <c r="D46" s="395">
        <v>0</v>
      </c>
      <c r="E46" s="395"/>
      <c r="F46" s="395">
        <v>0</v>
      </c>
      <c r="G46" s="395"/>
      <c r="H46" s="395">
        <v>0</v>
      </c>
      <c r="I46" s="395"/>
      <c r="J46" s="395">
        <v>0</v>
      </c>
      <c r="K46" s="395"/>
      <c r="L46" s="395">
        <f t="shared" si="5"/>
        <v>0</v>
      </c>
    </row>
    <row r="47" spans="1:14" ht="15" customHeight="1">
      <c r="A47" s="9" t="s">
        <v>58</v>
      </c>
      <c r="B47" s="395">
        <v>0</v>
      </c>
      <c r="C47" s="395"/>
      <c r="D47" s="395">
        <f>-'WP-9 - Disposal Fees'!P45</f>
        <v>-737337.93279999995</v>
      </c>
      <c r="E47" s="395"/>
      <c r="F47" s="395">
        <v>0</v>
      </c>
      <c r="G47" s="395"/>
      <c r="H47" s="395">
        <v>0</v>
      </c>
      <c r="I47" s="395"/>
      <c r="J47" s="395">
        <v>0</v>
      </c>
      <c r="K47" s="395"/>
      <c r="L47" s="395">
        <f t="shared" si="5"/>
        <v>-737337.93279999995</v>
      </c>
    </row>
    <row r="48" spans="1:14" ht="15" customHeight="1">
      <c r="A48" s="9" t="s">
        <v>962</v>
      </c>
      <c r="B48" s="395">
        <v>0</v>
      </c>
      <c r="C48" s="395"/>
      <c r="D48" s="395">
        <f>-D47</f>
        <v>737337.93279999995</v>
      </c>
      <c r="E48" s="395"/>
      <c r="F48" s="395">
        <v>0</v>
      </c>
      <c r="G48" s="395"/>
      <c r="H48" s="395">
        <v>0</v>
      </c>
      <c r="I48" s="395"/>
      <c r="J48" s="395">
        <v>0</v>
      </c>
      <c r="K48" s="395"/>
      <c r="L48" s="395">
        <f t="shared" si="5"/>
        <v>737337.93279999995</v>
      </c>
    </row>
    <row r="49" spans="1:12" ht="15" customHeight="1">
      <c r="A49" s="9" t="s">
        <v>102</v>
      </c>
      <c r="B49" s="395">
        <v>0</v>
      </c>
      <c r="C49" s="395"/>
      <c r="D49" s="395">
        <v>0</v>
      </c>
      <c r="E49" s="395"/>
      <c r="F49" s="395">
        <v>0</v>
      </c>
      <c r="G49" s="395"/>
      <c r="H49" s="395">
        <v>0</v>
      </c>
      <c r="I49" s="395"/>
      <c r="J49" s="395">
        <v>0</v>
      </c>
      <c r="K49" s="395"/>
      <c r="L49" s="395">
        <f t="shared" si="5"/>
        <v>0</v>
      </c>
    </row>
    <row r="50" spans="1:12" ht="15" customHeight="1">
      <c r="A50" s="9" t="s">
        <v>12</v>
      </c>
      <c r="B50" s="395">
        <v>0</v>
      </c>
      <c r="C50" s="395"/>
      <c r="D50" s="395">
        <v>0</v>
      </c>
      <c r="E50" s="395"/>
      <c r="F50" s="395">
        <v>0</v>
      </c>
      <c r="G50" s="395"/>
      <c r="H50" s="395">
        <v>0</v>
      </c>
      <c r="I50" s="395"/>
      <c r="J50" s="395">
        <v>0</v>
      </c>
      <c r="K50" s="395"/>
      <c r="L50" s="395">
        <f t="shared" si="5"/>
        <v>0</v>
      </c>
    </row>
    <row r="51" spans="1:12" ht="15" customHeight="1">
      <c r="A51" s="9" t="s">
        <v>720</v>
      </c>
      <c r="B51" s="395">
        <v>0</v>
      </c>
      <c r="C51" s="395"/>
      <c r="D51" s="395">
        <v>0</v>
      </c>
      <c r="E51" s="395"/>
      <c r="F51" s="395">
        <v>0</v>
      </c>
      <c r="G51" s="395"/>
      <c r="H51" s="395">
        <v>0</v>
      </c>
      <c r="I51" s="395"/>
      <c r="J51" s="395">
        <v>0</v>
      </c>
      <c r="K51" s="395"/>
      <c r="L51" s="395">
        <f t="shared" si="5"/>
        <v>0</v>
      </c>
    </row>
    <row r="52" spans="1:12" ht="15" customHeight="1">
      <c r="A52" s="9" t="s">
        <v>29</v>
      </c>
      <c r="B52" s="395">
        <v>0</v>
      </c>
      <c r="C52" s="395"/>
      <c r="D52" s="395">
        <v>0</v>
      </c>
      <c r="E52" s="395"/>
      <c r="F52" s="395">
        <v>0</v>
      </c>
      <c r="G52" s="395"/>
      <c r="H52" s="395">
        <v>0</v>
      </c>
      <c r="I52" s="395"/>
      <c r="J52" s="395">
        <v>0</v>
      </c>
      <c r="K52" s="395"/>
      <c r="L52" s="395">
        <f t="shared" si="5"/>
        <v>0</v>
      </c>
    </row>
    <row r="53" spans="1:12" ht="15" customHeight="1">
      <c r="A53" s="9" t="s">
        <v>723</v>
      </c>
      <c r="B53" s="395">
        <v>0</v>
      </c>
      <c r="C53" s="399"/>
      <c r="D53" s="395">
        <v>0</v>
      </c>
      <c r="E53" s="395"/>
      <c r="F53" s="395">
        <v>0</v>
      </c>
      <c r="G53" s="395"/>
      <c r="H53" s="395">
        <v>0</v>
      </c>
      <c r="I53" s="395"/>
      <c r="J53" s="395">
        <v>0</v>
      </c>
      <c r="K53" s="395"/>
      <c r="L53" s="395">
        <f t="shared" si="5"/>
        <v>0</v>
      </c>
    </row>
    <row r="54" spans="1:12" ht="15" customHeight="1">
      <c r="A54" s="9" t="s">
        <v>709</v>
      </c>
      <c r="B54" s="395">
        <v>0</v>
      </c>
      <c r="C54" s="395"/>
      <c r="D54" s="395">
        <v>0</v>
      </c>
      <c r="E54" s="395"/>
      <c r="F54" s="395">
        <v>0</v>
      </c>
      <c r="G54" s="395"/>
      <c r="H54" s="395">
        <v>0</v>
      </c>
      <c r="I54" s="395"/>
      <c r="J54" s="395">
        <v>0</v>
      </c>
      <c r="K54" s="395"/>
      <c r="L54" s="395">
        <f t="shared" si="5"/>
        <v>0</v>
      </c>
    </row>
    <row r="55" spans="1:12" ht="15" customHeight="1">
      <c r="A55" s="9" t="s">
        <v>706</v>
      </c>
      <c r="B55" s="395">
        <v>0</v>
      </c>
      <c r="C55" s="395"/>
      <c r="D55" s="395">
        <v>0</v>
      </c>
      <c r="E55" s="395"/>
      <c r="F55" s="395">
        <v>0</v>
      </c>
      <c r="G55" s="395"/>
      <c r="H55" s="395">
        <v>0</v>
      </c>
      <c r="I55" s="395"/>
      <c r="J55" s="395">
        <v>0</v>
      </c>
      <c r="K55" s="395"/>
      <c r="L55" s="395">
        <f t="shared" si="5"/>
        <v>0</v>
      </c>
    </row>
    <row r="56" spans="1:12" ht="15" customHeight="1">
      <c r="A56" s="9" t="s">
        <v>719</v>
      </c>
      <c r="B56" s="395">
        <v>0</v>
      </c>
      <c r="C56" s="395"/>
      <c r="D56" s="395">
        <v>0</v>
      </c>
      <c r="E56" s="395"/>
      <c r="F56" s="395">
        <v>0</v>
      </c>
      <c r="G56" s="395"/>
      <c r="H56" s="395">
        <v>0</v>
      </c>
      <c r="I56" s="395"/>
      <c r="J56" s="395">
        <v>0</v>
      </c>
      <c r="K56" s="395"/>
      <c r="L56" s="395">
        <f t="shared" si="5"/>
        <v>0</v>
      </c>
    </row>
    <row r="57" spans="1:12" ht="15" customHeight="1">
      <c r="A57" s="9" t="s">
        <v>718</v>
      </c>
      <c r="B57" s="395">
        <v>0</v>
      </c>
      <c r="C57" s="395"/>
      <c r="D57" s="395">
        <v>0</v>
      </c>
      <c r="E57" s="395"/>
      <c r="F57" s="395">
        <v>0</v>
      </c>
      <c r="G57" s="395"/>
      <c r="H57" s="395">
        <v>0</v>
      </c>
      <c r="I57" s="395"/>
      <c r="J57" s="395">
        <v>0</v>
      </c>
      <c r="K57" s="395"/>
      <c r="L57" s="395">
        <f t="shared" si="5"/>
        <v>0</v>
      </c>
    </row>
    <row r="58" spans="1:12" ht="15" customHeight="1">
      <c r="A58" s="9" t="s">
        <v>716</v>
      </c>
      <c r="B58" s="395">
        <v>0</v>
      </c>
      <c r="C58" s="395"/>
      <c r="D58" s="395">
        <v>0</v>
      </c>
      <c r="E58" s="395"/>
      <c r="F58" s="395">
        <v>0</v>
      </c>
      <c r="G58" s="395"/>
      <c r="H58" s="395">
        <v>0</v>
      </c>
      <c r="I58" s="395"/>
      <c r="J58" s="395">
        <v>0</v>
      </c>
      <c r="K58" s="395"/>
      <c r="L58" s="395">
        <f t="shared" si="5"/>
        <v>0</v>
      </c>
    </row>
    <row r="59" spans="1:12" ht="15" customHeight="1">
      <c r="A59" s="9" t="s">
        <v>729</v>
      </c>
      <c r="B59" s="395">
        <v>0</v>
      </c>
      <c r="C59" s="395"/>
      <c r="D59" s="395">
        <v>0</v>
      </c>
      <c r="E59" s="395"/>
      <c r="F59" s="395">
        <v>0</v>
      </c>
      <c r="G59" s="395"/>
      <c r="H59" s="395">
        <v>0</v>
      </c>
      <c r="I59" s="395"/>
      <c r="J59" s="395">
        <v>0</v>
      </c>
      <c r="K59" s="395"/>
      <c r="L59" s="395">
        <f t="shared" si="5"/>
        <v>0</v>
      </c>
    </row>
    <row r="60" spans="1:12" ht="15" customHeight="1">
      <c r="A60" s="9" t="s">
        <v>721</v>
      </c>
      <c r="B60" s="395">
        <v>0</v>
      </c>
      <c r="C60" s="395"/>
      <c r="D60" s="395">
        <v>0</v>
      </c>
      <c r="E60" s="395"/>
      <c r="F60" s="395">
        <v>0</v>
      </c>
      <c r="G60" s="395"/>
      <c r="H60" s="395">
        <v>0</v>
      </c>
      <c r="I60" s="395"/>
      <c r="J60" s="395">
        <v>0</v>
      </c>
      <c r="K60" s="395"/>
      <c r="L60" s="395">
        <f t="shared" si="5"/>
        <v>0</v>
      </c>
    </row>
    <row r="61" spans="1:12" ht="15" customHeight="1">
      <c r="A61" s="9" t="s">
        <v>710</v>
      </c>
      <c r="B61" s="395">
        <v>0</v>
      </c>
      <c r="C61" s="395"/>
      <c r="D61" s="395">
        <v>0</v>
      </c>
      <c r="E61" s="395"/>
      <c r="F61" s="395">
        <v>0</v>
      </c>
      <c r="G61" s="395"/>
      <c r="H61" s="395">
        <v>0</v>
      </c>
      <c r="I61" s="395"/>
      <c r="J61" s="395">
        <v>0</v>
      </c>
      <c r="K61" s="395"/>
      <c r="L61" s="395">
        <f t="shared" si="5"/>
        <v>0</v>
      </c>
    </row>
    <row r="62" spans="1:12" ht="15" customHeight="1">
      <c r="A62" s="9" t="s">
        <v>724</v>
      </c>
      <c r="B62" s="395">
        <v>0</v>
      </c>
      <c r="C62" s="395"/>
      <c r="D62" s="395">
        <v>0</v>
      </c>
      <c r="E62" s="395"/>
      <c r="F62" s="395">
        <v>0</v>
      </c>
      <c r="G62" s="395"/>
      <c r="H62" s="395">
        <v>0</v>
      </c>
      <c r="I62" s="395"/>
      <c r="J62" s="395">
        <v>0</v>
      </c>
      <c r="K62" s="395"/>
      <c r="L62" s="395">
        <f t="shared" si="5"/>
        <v>0</v>
      </c>
    </row>
    <row r="63" spans="1:12" ht="15" customHeight="1">
      <c r="A63" s="9" t="s">
        <v>715</v>
      </c>
      <c r="B63" s="395">
        <v>0</v>
      </c>
      <c r="C63" s="395"/>
      <c r="D63" s="395">
        <v>0</v>
      </c>
      <c r="E63" s="395"/>
      <c r="F63" s="395">
        <f>-F38</f>
        <v>0</v>
      </c>
      <c r="G63" s="395"/>
      <c r="H63" s="395">
        <v>0</v>
      </c>
      <c r="I63" s="395"/>
      <c r="J63" s="395">
        <v>0</v>
      </c>
      <c r="K63" s="395"/>
      <c r="L63" s="395">
        <f t="shared" si="5"/>
        <v>0</v>
      </c>
    </row>
    <row r="64" spans="1:12" ht="15" customHeight="1">
      <c r="A64" s="9" t="s">
        <v>350</v>
      </c>
      <c r="B64" s="395">
        <v>0</v>
      </c>
      <c r="C64" s="395"/>
      <c r="D64" s="395">
        <v>0</v>
      </c>
      <c r="E64" s="395"/>
      <c r="F64" s="395">
        <v>0</v>
      </c>
      <c r="G64" s="395"/>
      <c r="H64" s="395">
        <v>0</v>
      </c>
      <c r="I64" s="395"/>
      <c r="J64" s="395">
        <v>0</v>
      </c>
      <c r="K64" s="395"/>
      <c r="L64" s="395">
        <f t="shared" si="5"/>
        <v>0</v>
      </c>
    </row>
    <row r="65" spans="1:12" ht="15" customHeight="1">
      <c r="A65" s="9" t="s">
        <v>730</v>
      </c>
      <c r="B65" s="395">
        <v>0</v>
      </c>
      <c r="C65" s="395"/>
      <c r="D65" s="395">
        <v>0</v>
      </c>
      <c r="E65" s="395"/>
      <c r="F65" s="395">
        <v>0</v>
      </c>
      <c r="G65" s="395"/>
      <c r="H65" s="395">
        <v>0</v>
      </c>
      <c r="I65" s="395"/>
      <c r="J65" s="395">
        <v>0</v>
      </c>
      <c r="K65" s="395"/>
      <c r="L65" s="395">
        <f t="shared" si="5"/>
        <v>0</v>
      </c>
    </row>
    <row r="66" spans="1:12" ht="15" customHeight="1">
      <c r="A66" s="9" t="s">
        <v>704</v>
      </c>
      <c r="B66" s="395">
        <v>0</v>
      </c>
      <c r="C66" s="395"/>
      <c r="D66" s="395">
        <v>0</v>
      </c>
      <c r="E66" s="395"/>
      <c r="F66" s="395">
        <v>0</v>
      </c>
      <c r="G66" s="395"/>
      <c r="H66" s="395">
        <v>0</v>
      </c>
      <c r="I66" s="395"/>
      <c r="J66" s="395">
        <v>0</v>
      </c>
      <c r="K66" s="395"/>
      <c r="L66" s="395">
        <f t="shared" si="5"/>
        <v>0</v>
      </c>
    </row>
    <row r="67" spans="1:12" ht="15" customHeight="1">
      <c r="A67" s="9" t="s">
        <v>703</v>
      </c>
      <c r="B67" s="395">
        <v>0</v>
      </c>
      <c r="C67" s="395"/>
      <c r="D67" s="395">
        <v>0</v>
      </c>
      <c r="E67" s="395"/>
      <c r="F67" s="395">
        <v>0</v>
      </c>
      <c r="G67" s="395"/>
      <c r="H67" s="395">
        <v>0</v>
      </c>
      <c r="I67" s="395"/>
      <c r="J67" s="395">
        <v>0</v>
      </c>
      <c r="K67" s="395"/>
      <c r="L67" s="395">
        <f t="shared" si="5"/>
        <v>0</v>
      </c>
    </row>
    <row r="68" spans="1:12" ht="15" customHeight="1">
      <c r="A68" s="9" t="s">
        <v>352</v>
      </c>
      <c r="B68" s="395">
        <v>0</v>
      </c>
      <c r="C68" s="395"/>
      <c r="D68" s="395">
        <v>0</v>
      </c>
      <c r="E68" s="395"/>
      <c r="F68" s="395">
        <v>0</v>
      </c>
      <c r="G68" s="395"/>
      <c r="H68" s="395">
        <v>0</v>
      </c>
      <c r="I68" s="395"/>
      <c r="J68" s="395">
        <v>0</v>
      </c>
      <c r="K68" s="395"/>
      <c r="L68" s="395">
        <f t="shared" si="5"/>
        <v>0</v>
      </c>
    </row>
    <row r="69" spans="1:12" ht="15" customHeight="1">
      <c r="A69" s="9" t="s">
        <v>713</v>
      </c>
      <c r="B69" s="395">
        <v>0</v>
      </c>
      <c r="C69" s="395"/>
      <c r="D69" s="395">
        <v>0</v>
      </c>
      <c r="E69" s="395"/>
      <c r="F69" s="395">
        <v>0</v>
      </c>
      <c r="G69" s="395"/>
      <c r="H69" s="395">
        <v>0</v>
      </c>
      <c r="I69" s="395"/>
      <c r="J69" s="395">
        <v>0</v>
      </c>
      <c r="K69" s="395"/>
      <c r="L69" s="395">
        <f t="shared" si="5"/>
        <v>0</v>
      </c>
    </row>
    <row r="70" spans="1:12" ht="15" customHeight="1">
      <c r="A70" s="9" t="s">
        <v>707</v>
      </c>
      <c r="B70" s="395">
        <v>0</v>
      </c>
      <c r="C70" s="395"/>
      <c r="D70" s="395">
        <v>0</v>
      </c>
      <c r="E70" s="395"/>
      <c r="F70" s="395">
        <v>0</v>
      </c>
      <c r="G70" s="395"/>
      <c r="H70" s="395">
        <v>0</v>
      </c>
      <c r="I70" s="395"/>
      <c r="J70" s="395">
        <v>0</v>
      </c>
      <c r="K70" s="395"/>
      <c r="L70" s="395">
        <f t="shared" si="5"/>
        <v>0</v>
      </c>
    </row>
    <row r="71" spans="1:12" ht="15" customHeight="1">
      <c r="A71" s="9" t="s">
        <v>725</v>
      </c>
      <c r="B71" s="395">
        <v>0</v>
      </c>
      <c r="C71" s="395"/>
      <c r="D71" s="395">
        <v>0</v>
      </c>
      <c r="E71" s="395"/>
      <c r="F71" s="395">
        <v>0</v>
      </c>
      <c r="G71" s="395"/>
      <c r="H71" s="395">
        <v>0</v>
      </c>
      <c r="I71" s="395"/>
      <c r="J71" s="395">
        <v>0</v>
      </c>
      <c r="K71" s="395"/>
      <c r="L71" s="395">
        <f t="shared" si="5"/>
        <v>0</v>
      </c>
    </row>
    <row r="72" spans="1:12" ht="15" customHeight="1">
      <c r="A72" s="9" t="s">
        <v>717</v>
      </c>
      <c r="B72" s="395">
        <v>0</v>
      </c>
      <c r="C72" s="395"/>
      <c r="D72" s="395">
        <v>0</v>
      </c>
      <c r="E72" s="395"/>
      <c r="F72" s="395">
        <v>0</v>
      </c>
      <c r="G72" s="395"/>
      <c r="H72" s="395">
        <v>0</v>
      </c>
      <c r="I72" s="395"/>
      <c r="J72" s="395">
        <v>0</v>
      </c>
      <c r="K72" s="395"/>
      <c r="L72" s="395">
        <f t="shared" si="5"/>
        <v>0</v>
      </c>
    </row>
    <row r="73" spans="1:12" ht="15" customHeight="1">
      <c r="A73" s="9" t="s">
        <v>731</v>
      </c>
      <c r="B73" s="395">
        <v>0</v>
      </c>
      <c r="C73" s="395"/>
      <c r="D73" s="395">
        <v>0</v>
      </c>
      <c r="E73" s="395"/>
      <c r="F73" s="395">
        <v>0</v>
      </c>
      <c r="G73" s="395"/>
      <c r="H73" s="395">
        <v>0</v>
      </c>
      <c r="I73" s="395"/>
      <c r="J73" s="395">
        <v>0</v>
      </c>
      <c r="K73" s="395"/>
      <c r="L73" s="395">
        <f t="shared" si="5"/>
        <v>0</v>
      </c>
    </row>
    <row r="74" spans="1:12" ht="15" customHeight="1">
      <c r="A74" s="9" t="s">
        <v>712</v>
      </c>
      <c r="B74" s="395">
        <v>0</v>
      </c>
      <c r="C74" s="395"/>
      <c r="D74" s="395">
        <v>0</v>
      </c>
      <c r="E74" s="395"/>
      <c r="F74" s="395">
        <v>0</v>
      </c>
      <c r="G74" s="395"/>
      <c r="H74" s="395">
        <v>0</v>
      </c>
      <c r="I74" s="395"/>
      <c r="J74" s="395">
        <v>0</v>
      </c>
      <c r="K74" s="395"/>
      <c r="L74" s="395">
        <f t="shared" si="5"/>
        <v>0</v>
      </c>
    </row>
    <row r="75" spans="1:12" ht="15" customHeight="1">
      <c r="A75" s="9" t="s">
        <v>728</v>
      </c>
      <c r="B75" s="395">
        <v>0</v>
      </c>
      <c r="C75" s="395"/>
      <c r="D75" s="395">
        <v>0</v>
      </c>
      <c r="E75" s="395"/>
      <c r="F75" s="395">
        <v>0</v>
      </c>
      <c r="G75" s="395"/>
      <c r="H75" s="395">
        <v>0</v>
      </c>
      <c r="I75" s="395"/>
      <c r="J75" s="395">
        <v>0</v>
      </c>
      <c r="K75" s="395"/>
      <c r="L75" s="395">
        <f t="shared" si="5"/>
        <v>0</v>
      </c>
    </row>
    <row r="76" spans="1:12" ht="15" customHeight="1">
      <c r="A76" s="9" t="s">
        <v>30</v>
      </c>
      <c r="B76" s="395">
        <v>0</v>
      </c>
      <c r="C76" s="395"/>
      <c r="D76" s="395">
        <v>0</v>
      </c>
      <c r="E76" s="395"/>
      <c r="F76" s="395">
        <v>0</v>
      </c>
      <c r="G76" s="395"/>
      <c r="H76" s="395">
        <v>0</v>
      </c>
      <c r="I76" s="395"/>
      <c r="J76" s="395">
        <v>0</v>
      </c>
      <c r="K76" s="395"/>
      <c r="L76" s="395">
        <f t="shared" si="5"/>
        <v>0</v>
      </c>
    </row>
    <row r="77" spans="1:12" ht="15" customHeight="1">
      <c r="A77" s="9" t="s">
        <v>93</v>
      </c>
      <c r="B77" s="395">
        <v>0</v>
      </c>
      <c r="C77" s="395"/>
      <c r="D77" s="395">
        <v>0</v>
      </c>
      <c r="E77" s="395"/>
      <c r="F77" s="395">
        <v>0</v>
      </c>
      <c r="G77" s="395"/>
      <c r="H77" s="395">
        <v>0</v>
      </c>
      <c r="I77" s="395"/>
      <c r="J77" s="395">
        <v>0</v>
      </c>
      <c r="K77" s="395"/>
      <c r="L77" s="395">
        <f t="shared" si="5"/>
        <v>0</v>
      </c>
    </row>
    <row r="78" spans="1:12" ht="15" customHeight="1">
      <c r="A78" s="9" t="s">
        <v>40</v>
      </c>
      <c r="B78" s="395">
        <v>0</v>
      </c>
      <c r="C78" s="395"/>
      <c r="D78" s="395">
        <v>0</v>
      </c>
      <c r="E78" s="395"/>
      <c r="F78" s="395">
        <v>0</v>
      </c>
      <c r="G78" s="395"/>
      <c r="H78" s="395">
        <v>0</v>
      </c>
      <c r="I78" s="395"/>
      <c r="J78" s="395">
        <v>0</v>
      </c>
      <c r="K78" s="395"/>
      <c r="L78" s="395">
        <f t="shared" si="5"/>
        <v>0</v>
      </c>
    </row>
    <row r="79" spans="1:12" ht="15" customHeight="1">
      <c r="A79" s="9" t="s">
        <v>413</v>
      </c>
      <c r="B79" s="395">
        <v>0</v>
      </c>
      <c r="C79" s="395"/>
      <c r="D79" s="395">
        <v>0</v>
      </c>
      <c r="E79" s="395"/>
      <c r="F79" s="395">
        <v>0</v>
      </c>
      <c r="G79" s="395"/>
      <c r="H79" s="395">
        <v>0</v>
      </c>
      <c r="I79" s="395"/>
      <c r="J79" s="395">
        <v>0</v>
      </c>
      <c r="K79" s="395"/>
      <c r="L79" s="395">
        <f t="shared" si="5"/>
        <v>0</v>
      </c>
    </row>
    <row r="80" spans="1:12" ht="15" customHeight="1">
      <c r="A80" s="390"/>
      <c r="B80" s="401">
        <f>SUM(B31:B79)</f>
        <v>-7.2759576141834259E-11</v>
      </c>
      <c r="C80" s="395"/>
      <c r="D80" s="401">
        <f>SUM(D31:D79)</f>
        <v>0</v>
      </c>
      <c r="E80" s="395"/>
      <c r="F80" s="429">
        <f>SUM(F31:F79)</f>
        <v>0</v>
      </c>
      <c r="G80" s="394"/>
      <c r="H80" s="429">
        <f>SUM(H31:H79)</f>
        <v>0</v>
      </c>
      <c r="I80" s="395"/>
      <c r="J80" s="429">
        <f>SUM(J31:J79)</f>
        <v>0</v>
      </c>
      <c r="K80" s="395"/>
      <c r="L80" s="429">
        <f>SUM(L31:L79)</f>
        <v>-1.1641532182693481E-10</v>
      </c>
    </row>
    <row r="81" spans="1:12" ht="15" customHeight="1">
      <c r="A81" s="390"/>
      <c r="B81" s="395"/>
      <c r="C81" s="395"/>
      <c r="D81" s="395"/>
      <c r="E81" s="395"/>
      <c r="F81" s="395"/>
      <c r="G81" s="395"/>
      <c r="H81" s="395"/>
      <c r="I81" s="395"/>
      <c r="J81" s="395"/>
      <c r="K81" s="395"/>
      <c r="L81" s="395"/>
    </row>
    <row r="82" spans="1:12" ht="15" customHeight="1" thickBot="1">
      <c r="A82" s="390" t="s">
        <v>38</v>
      </c>
      <c r="B82" s="402">
        <f>+B28-B80</f>
        <v>7.2759576141834259E-11</v>
      </c>
      <c r="C82" s="395"/>
      <c r="D82" s="402">
        <f>+D28-D80</f>
        <v>0</v>
      </c>
      <c r="E82" s="395"/>
      <c r="F82" s="402">
        <f>+F28-F80</f>
        <v>0</v>
      </c>
      <c r="G82" s="395"/>
      <c r="H82" s="402">
        <f>+H28-H80</f>
        <v>0</v>
      </c>
      <c r="I82" s="394"/>
      <c r="J82" s="402">
        <f>+J28-J80</f>
        <v>0</v>
      </c>
      <c r="K82" s="394"/>
      <c r="L82" s="402">
        <f>+L28-L80</f>
        <v>1.1641532182693481E-10</v>
      </c>
    </row>
    <row r="83" spans="1:12" ht="15" customHeight="1" thickTop="1"/>
    <row r="84" spans="1:12">
      <c r="B84" s="39"/>
      <c r="D84" s="39"/>
    </row>
    <row r="85" spans="1:12">
      <c r="D85" s="39"/>
    </row>
  </sheetData>
  <mergeCells count="5">
    <mergeCell ref="A1:L1"/>
    <mergeCell ref="A2:L2"/>
    <mergeCell ref="A3:L3"/>
    <mergeCell ref="A5:L5"/>
    <mergeCell ref="A6:L6"/>
  </mergeCells>
  <phoneticPr fontId="14" type="noConversion"/>
  <printOptions horizontalCentered="1"/>
  <pageMargins left="0.9" right="0.7" top="0.75" bottom="0.5" header="0" footer="0.25"/>
  <pageSetup scale="72" fitToHeight="3" orientation="portrait" horizontalDpi="300" verticalDpi="300" r:id="rId1"/>
  <headerFooter scaleWithDoc="0" alignWithMargins="0">
    <oddFooter xml:space="preserve">&amp;C&amp;"Times New Roman,Regular"&amp;10See accompanying summary of significant forecast  assumptions. </oddFooter>
  </headerFooter>
  <rowBreaks count="1" manualBreakCount="1">
    <brk id="29" max="1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Q218"/>
  <sheetViews>
    <sheetView zoomScale="80" zoomScaleNormal="80" workbookViewId="0">
      <pane xSplit="2" ySplit="1" topLeftCell="M2" activePane="bottomRight" state="frozen"/>
      <selection pane="topRight" activeCell="C1" sqref="C1"/>
      <selection pane="bottomLeft" activeCell="A2" sqref="A2"/>
      <selection pane="bottomRight"/>
    </sheetView>
  </sheetViews>
  <sheetFormatPr defaultColWidth="10.88671875" defaultRowHeight="18.75"/>
  <cols>
    <col min="1" max="1" width="2.44140625" style="23" bestFit="1" customWidth="1"/>
    <col min="2" max="2" width="40.6640625" style="236" customWidth="1"/>
    <col min="3" max="16" width="12.6640625" style="5" customWidth="1"/>
    <col min="17" max="17" width="15.6640625" style="5" customWidth="1"/>
    <col min="18" max="18" width="10.6640625" style="5" customWidth="1"/>
    <col min="19" max="19" width="15.6640625" style="5" customWidth="1"/>
    <col min="20" max="20" width="2.109375" style="5" bestFit="1" customWidth="1"/>
    <col min="21" max="21" width="15.6640625" style="13" customWidth="1"/>
    <col min="22" max="25" width="10.88671875" style="5"/>
    <col min="26" max="16384" width="10.88671875" style="236"/>
  </cols>
  <sheetData>
    <row r="1" spans="1:43">
      <c r="B1" s="937" t="s">
        <v>585</v>
      </c>
      <c r="C1" s="937"/>
      <c r="D1" s="937"/>
      <c r="E1" s="937"/>
      <c r="F1" s="937"/>
      <c r="G1" s="937"/>
      <c r="H1" s="937"/>
      <c r="I1" s="937"/>
      <c r="J1" s="937"/>
      <c r="K1" s="937"/>
      <c r="L1" s="937"/>
      <c r="M1" s="937"/>
      <c r="N1" s="937"/>
      <c r="O1" s="937"/>
      <c r="P1" s="937"/>
      <c r="Q1" s="937"/>
      <c r="R1" s="937"/>
      <c r="S1" s="937"/>
    </row>
    <row r="2" spans="1:43" ht="9.75" customHeight="1">
      <c r="B2" s="3"/>
      <c r="C2" s="237"/>
      <c r="D2" s="237"/>
      <c r="E2" s="237"/>
      <c r="F2" s="237"/>
      <c r="G2" s="237"/>
      <c r="H2" s="237"/>
      <c r="I2" s="237"/>
      <c r="J2" s="237"/>
      <c r="K2" s="237"/>
      <c r="L2" s="237"/>
      <c r="M2" s="237"/>
      <c r="N2" s="237"/>
      <c r="O2" s="237"/>
      <c r="P2" s="237"/>
      <c r="Q2" s="237"/>
      <c r="R2" s="237"/>
      <c r="S2" s="237"/>
    </row>
    <row r="3" spans="1:43">
      <c r="B3" s="918" t="s">
        <v>111</v>
      </c>
      <c r="C3" s="918"/>
      <c r="D3" s="918"/>
      <c r="E3" s="918"/>
      <c r="F3" s="918"/>
      <c r="G3" s="918"/>
      <c r="H3" s="918"/>
      <c r="I3" s="918"/>
      <c r="J3" s="918"/>
      <c r="K3" s="918"/>
      <c r="L3" s="918"/>
      <c r="M3" s="918"/>
      <c r="N3" s="918"/>
      <c r="O3" s="918"/>
      <c r="P3" s="918"/>
      <c r="Q3" s="918"/>
      <c r="R3" s="918"/>
      <c r="S3" s="918"/>
    </row>
    <row r="4" spans="1:43">
      <c r="B4" s="4"/>
      <c r="C4" s="4"/>
      <c r="D4" s="4"/>
      <c r="E4" s="4"/>
      <c r="F4" s="4"/>
      <c r="G4" s="4"/>
      <c r="H4" s="4"/>
      <c r="I4" s="4"/>
      <c r="J4" s="4"/>
      <c r="K4" s="4"/>
      <c r="L4" s="4"/>
      <c r="M4" s="4"/>
      <c r="N4" s="4"/>
      <c r="O4" s="4"/>
      <c r="P4" s="4"/>
      <c r="Q4" s="4"/>
      <c r="R4" s="4"/>
      <c r="S4" s="4"/>
    </row>
    <row r="5" spans="1:43">
      <c r="B5" s="937" t="str">
        <f>'Fly Sheet'!$A$20</f>
        <v>For the Twelve Months Ended December 31, 2023 Historical and March 31, 2026 Forecasted</v>
      </c>
      <c r="C5" s="937"/>
      <c r="D5" s="937"/>
      <c r="E5" s="937"/>
      <c r="F5" s="937"/>
      <c r="G5" s="937"/>
      <c r="H5" s="937"/>
      <c r="I5" s="937"/>
      <c r="J5" s="937"/>
      <c r="K5" s="937"/>
      <c r="L5" s="937"/>
      <c r="M5" s="937"/>
      <c r="N5" s="937"/>
      <c r="O5" s="937"/>
      <c r="P5" s="937"/>
      <c r="Q5" s="937"/>
      <c r="R5" s="937"/>
      <c r="S5" s="937"/>
    </row>
    <row r="6" spans="1:43">
      <c r="B6" s="928"/>
      <c r="C6" s="928"/>
      <c r="D6" s="928"/>
      <c r="E6" s="928"/>
      <c r="F6" s="928"/>
      <c r="G6" s="928"/>
      <c r="H6" s="928"/>
      <c r="I6" s="928"/>
      <c r="J6" s="928"/>
      <c r="K6" s="928"/>
      <c r="L6" s="928"/>
      <c r="M6" s="928"/>
      <c r="N6" s="928"/>
      <c r="O6" s="928"/>
      <c r="P6" s="928"/>
      <c r="Q6" s="928"/>
      <c r="R6" s="928"/>
      <c r="S6" s="928"/>
    </row>
    <row r="7" spans="1:43">
      <c r="B7" s="4"/>
      <c r="C7" s="4"/>
      <c r="D7" s="4"/>
      <c r="E7" s="4"/>
      <c r="F7" s="4"/>
      <c r="G7" s="4"/>
      <c r="H7" s="4"/>
      <c r="I7" s="4"/>
      <c r="J7" s="4"/>
      <c r="K7" s="4"/>
      <c r="L7" s="4"/>
      <c r="M7" s="4"/>
      <c r="N7" s="4"/>
      <c r="O7" s="4"/>
      <c r="P7" s="4"/>
      <c r="Q7" s="4"/>
      <c r="R7" s="4"/>
      <c r="S7" s="4"/>
    </row>
    <row r="8" spans="1:43" s="8" customFormat="1" ht="15">
      <c r="A8" s="23"/>
      <c r="C8" s="40"/>
      <c r="D8" s="40"/>
      <c r="E8" s="40"/>
      <c r="F8" s="40"/>
      <c r="G8" s="40"/>
      <c r="H8" s="40"/>
      <c r="I8" s="40"/>
      <c r="J8" s="40"/>
      <c r="K8" s="40"/>
      <c r="L8" s="40"/>
      <c r="M8" s="40"/>
      <c r="N8" s="40"/>
      <c r="P8" s="40"/>
      <c r="Q8" s="41" t="s">
        <v>32</v>
      </c>
      <c r="R8" s="40"/>
      <c r="T8" s="10"/>
      <c r="U8" s="238"/>
      <c r="V8" s="10"/>
      <c r="W8" s="10"/>
      <c r="X8" s="10"/>
      <c r="Y8" s="10"/>
    </row>
    <row r="9" spans="1:43" s="8" customFormat="1" ht="15">
      <c r="A9" s="23"/>
      <c r="I9" s="40"/>
      <c r="J9" s="40"/>
      <c r="K9" s="40"/>
      <c r="L9" s="42"/>
      <c r="M9" s="42"/>
      <c r="N9" s="42"/>
      <c r="O9" s="42" t="s">
        <v>19</v>
      </c>
      <c r="P9" s="40"/>
      <c r="Q9" s="42" t="s">
        <v>197</v>
      </c>
      <c r="R9" s="40"/>
      <c r="S9" s="42" t="s">
        <v>19</v>
      </c>
      <c r="T9" s="10"/>
      <c r="U9" s="238"/>
      <c r="V9" s="10"/>
      <c r="W9" s="10"/>
      <c r="X9" s="10"/>
      <c r="Y9" s="10"/>
    </row>
    <row r="10" spans="1:43" s="8" customFormat="1" ht="15" customHeight="1">
      <c r="A10" s="23"/>
      <c r="C10" s="43" t="s">
        <v>63</v>
      </c>
      <c r="D10" s="43" t="s">
        <v>64</v>
      </c>
      <c r="E10" s="43" t="s">
        <v>65</v>
      </c>
      <c r="F10" s="43" t="s">
        <v>66</v>
      </c>
      <c r="G10" s="43" t="s">
        <v>67</v>
      </c>
      <c r="H10" s="43" t="s">
        <v>68</v>
      </c>
      <c r="I10" s="43" t="s">
        <v>69</v>
      </c>
      <c r="J10" s="43" t="s">
        <v>70</v>
      </c>
      <c r="K10" s="43" t="s">
        <v>62</v>
      </c>
      <c r="L10" s="43" t="s">
        <v>61</v>
      </c>
      <c r="M10" s="43" t="s">
        <v>60</v>
      </c>
      <c r="N10" s="43" t="s">
        <v>59</v>
      </c>
      <c r="O10" s="42" t="s">
        <v>23</v>
      </c>
      <c r="P10" s="43" t="s">
        <v>32</v>
      </c>
      <c r="Q10" s="42" t="s">
        <v>23</v>
      </c>
      <c r="R10" s="43"/>
      <c r="S10" s="42" t="s">
        <v>23</v>
      </c>
      <c r="T10" s="46"/>
      <c r="U10" s="239" t="s">
        <v>751</v>
      </c>
      <c r="V10" s="46"/>
      <c r="W10" s="46"/>
      <c r="X10" s="46"/>
      <c r="Y10" s="46"/>
      <c r="Z10" s="240"/>
      <c r="AA10" s="240"/>
      <c r="AB10" s="240"/>
      <c r="AC10" s="240"/>
      <c r="AD10" s="240"/>
      <c r="AE10" s="240"/>
      <c r="AF10" s="240"/>
      <c r="AG10" s="240"/>
      <c r="AH10" s="240"/>
      <c r="AI10" s="240"/>
      <c r="AJ10" s="240"/>
      <c r="AK10" s="240"/>
      <c r="AL10" s="240"/>
      <c r="AM10" s="240"/>
      <c r="AN10" s="240"/>
      <c r="AO10" s="240"/>
      <c r="AP10" s="240"/>
      <c r="AQ10" s="240"/>
    </row>
    <row r="11" spans="1:43" ht="15" customHeight="1">
      <c r="B11" s="11" t="s">
        <v>27</v>
      </c>
      <c r="C11" s="10"/>
      <c r="D11" s="10"/>
      <c r="E11" s="10"/>
      <c r="F11" s="10"/>
      <c r="G11" s="10"/>
      <c r="H11" s="10"/>
      <c r="I11" s="10"/>
      <c r="J11" s="10"/>
      <c r="K11" s="10"/>
      <c r="L11" s="10"/>
      <c r="M11" s="10"/>
      <c r="N11" s="10"/>
      <c r="O11" s="10"/>
    </row>
    <row r="12" spans="1:43" ht="15" customHeight="1">
      <c r="A12" s="23">
        <v>1</v>
      </c>
      <c r="B12" s="9" t="s">
        <v>692</v>
      </c>
      <c r="C12" s="44">
        <f>+'IS-PBC'!B5+'IS-PBC'!B17</f>
        <v>237122.61</v>
      </c>
      <c r="D12" s="44">
        <f>+'IS-PBC'!C5+'IS-PBC'!C17</f>
        <v>246686.05</v>
      </c>
      <c r="E12" s="44">
        <f>+'IS-PBC'!D5+'IS-PBC'!D17</f>
        <v>237918.74</v>
      </c>
      <c r="F12" s="44">
        <f>+'IS-PBC'!E5+'IS-PBC'!E17</f>
        <v>323610.05000000005</v>
      </c>
      <c r="G12" s="44">
        <f>+'IS-PBC'!F5+'IS-PBC'!F17</f>
        <v>301888.46999999997</v>
      </c>
      <c r="H12" s="44">
        <f>+'IS-PBC'!G5+'IS-PBC'!G17</f>
        <v>312056.21000000002</v>
      </c>
      <c r="I12" s="44">
        <f>+'IS-PBC'!H5+'IS-PBC'!H17</f>
        <v>303115</v>
      </c>
      <c r="J12" s="44">
        <f>+'IS-PBC'!I5+'IS-PBC'!I17</f>
        <v>313865.3</v>
      </c>
      <c r="K12" s="44">
        <f>+'IS-PBC'!J5+'IS-PBC'!J17</f>
        <v>303460.01</v>
      </c>
      <c r="L12" s="44">
        <f>+'IS-PBC'!K5+'IS-PBC'!K17</f>
        <v>312286.45999999996</v>
      </c>
      <c r="M12" s="44">
        <f>+'IS-PBC'!L5+'IS-PBC'!L17</f>
        <v>300311.04000000004</v>
      </c>
      <c r="N12" s="44">
        <f>+'IS-PBC'!M5+'IS-PBC'!M17</f>
        <v>307574.26</v>
      </c>
      <c r="O12" s="44">
        <f t="shared" ref="O12:O24" si="0">SUM(C12:N12)</f>
        <v>3499894.1999999993</v>
      </c>
      <c r="P12" s="44"/>
      <c r="Q12" s="44">
        <f t="shared" ref="Q12:Q24" si="1">P12+O12</f>
        <v>3499894.1999999993</v>
      </c>
      <c r="R12" s="10"/>
      <c r="S12" s="10">
        <f t="shared" ref="S12:S24" si="2">Q12+R12</f>
        <v>3499894.1999999993</v>
      </c>
      <c r="U12" s="709"/>
    </row>
    <row r="13" spans="1:43" ht="15" customHeight="1">
      <c r="A13" s="23">
        <v>2</v>
      </c>
      <c r="B13" s="9" t="s">
        <v>693</v>
      </c>
      <c r="C13" s="710">
        <f>+'IS-PBC'!B6+'IS-PBC'!B7+'IS-PBC'!B8+'IS-PBC'!B9+'IS-PBC'!B10+'IS-PBC'!B11+'IS-PBC'!B12+'IS-PBC'!B13+'IS-PBC'!B14+'IS-PBC'!B15+'IS-PBC'!B16+'IS-PBC'!B18+'IS-PBC'!B19+'IS-PBC'!B20+'IS-PBC'!B21+'IS-PBC'!B79</f>
        <v>105492.85</v>
      </c>
      <c r="D13" s="710">
        <f>+'IS-PBC'!C6+'IS-PBC'!C7+'IS-PBC'!C8+'IS-PBC'!C9+'IS-PBC'!C10+'IS-PBC'!C11+'IS-PBC'!C12+'IS-PBC'!C13+'IS-PBC'!C14+'IS-PBC'!C15+'IS-PBC'!C16+'IS-PBC'!C18+'IS-PBC'!C19+'IS-PBC'!C20+'IS-PBC'!C21+'IS-PBC'!C79</f>
        <v>104600.52</v>
      </c>
      <c r="E13" s="710">
        <f>+'IS-PBC'!D6+'IS-PBC'!D7+'IS-PBC'!D8+'IS-PBC'!D9+'IS-PBC'!D10+'IS-PBC'!D11+'IS-PBC'!D12+'IS-PBC'!D13+'IS-PBC'!D14+'IS-PBC'!D15+'IS-PBC'!D16+'IS-PBC'!D18+'IS-PBC'!D19+'IS-PBC'!D20+'IS-PBC'!D21+'IS-PBC'!D79</f>
        <v>105466.68000000001</v>
      </c>
      <c r="F13" s="710">
        <f>+'IS-PBC'!E6+'IS-PBC'!E7+'IS-PBC'!E8+'IS-PBC'!E9+'IS-PBC'!E10+'IS-PBC'!E11+'IS-PBC'!E12+'IS-PBC'!E13+'IS-PBC'!E14+'IS-PBC'!E15+'IS-PBC'!E16+'IS-PBC'!E18+'IS-PBC'!E19+'IS-PBC'!E20+'IS-PBC'!E21+'IS-PBC'!E79</f>
        <v>105460.45000000001</v>
      </c>
      <c r="G13" s="710">
        <f>+'IS-PBC'!F6+'IS-PBC'!F7+'IS-PBC'!F8+'IS-PBC'!F9+'IS-PBC'!F10+'IS-PBC'!F11+'IS-PBC'!F12+'IS-PBC'!F13+'IS-PBC'!F14+'IS-PBC'!F15+'IS-PBC'!F16+'IS-PBC'!F18+'IS-PBC'!F19+'IS-PBC'!F20+'IS-PBC'!F21+'IS-PBC'!F79</f>
        <v>106119.85999999999</v>
      </c>
      <c r="H13" s="710">
        <f>+'IS-PBC'!G6+'IS-PBC'!G7+'IS-PBC'!G8+'IS-PBC'!G9+'IS-PBC'!G10+'IS-PBC'!G11+'IS-PBC'!G12+'IS-PBC'!G13+'IS-PBC'!G14+'IS-PBC'!G15+'IS-PBC'!G16+'IS-PBC'!G18+'IS-PBC'!G19+'IS-PBC'!G20+'IS-PBC'!G21+'IS-PBC'!G79</f>
        <v>106266.70999999999</v>
      </c>
      <c r="I13" s="710">
        <f>+'IS-PBC'!H6+'IS-PBC'!H7+'IS-PBC'!H8+'IS-PBC'!H9+'IS-PBC'!H10+'IS-PBC'!H11+'IS-PBC'!H12+'IS-PBC'!H13+'IS-PBC'!H14+'IS-PBC'!H15+'IS-PBC'!H16+'IS-PBC'!H18+'IS-PBC'!H19+'IS-PBC'!H20+'IS-PBC'!H21+'IS-PBC'!H79</f>
        <v>107277.81</v>
      </c>
      <c r="J13" s="710">
        <f>+'IS-PBC'!I6+'IS-PBC'!I7+'IS-PBC'!I8+'IS-PBC'!I9+'IS-PBC'!I10+'IS-PBC'!I11+'IS-PBC'!I12+'IS-PBC'!I13+'IS-PBC'!I14+'IS-PBC'!I15+'IS-PBC'!I16+'IS-PBC'!I18+'IS-PBC'!I19+'IS-PBC'!I20+'IS-PBC'!I21+'IS-PBC'!I79</f>
        <v>107698.05</v>
      </c>
      <c r="K13" s="710">
        <f>+'IS-PBC'!J6+'IS-PBC'!J7+'IS-PBC'!J8+'IS-PBC'!J9+'IS-PBC'!J10+'IS-PBC'!J11+'IS-PBC'!J12+'IS-PBC'!J13+'IS-PBC'!J14+'IS-PBC'!J15+'IS-PBC'!J16+'IS-PBC'!J18+'IS-PBC'!J19+'IS-PBC'!J20+'IS-PBC'!J21+'IS-PBC'!J79</f>
        <v>107837.95999999999</v>
      </c>
      <c r="L13" s="710">
        <f>+'IS-PBC'!K6+'IS-PBC'!K7+'IS-PBC'!K8+'IS-PBC'!K9+'IS-PBC'!K10+'IS-PBC'!K11+'IS-PBC'!K12+'IS-PBC'!K13+'IS-PBC'!K14+'IS-PBC'!K15+'IS-PBC'!K16+'IS-PBC'!K18+'IS-PBC'!K19+'IS-PBC'!K20+'IS-PBC'!K21+'IS-PBC'!K79</f>
        <v>107883.36000000002</v>
      </c>
      <c r="M13" s="710">
        <f>+'IS-PBC'!L6+'IS-PBC'!L7+'IS-PBC'!L8+'IS-PBC'!L9+'IS-PBC'!L10+'IS-PBC'!L11+'IS-PBC'!L12+'IS-PBC'!L13+'IS-PBC'!L14+'IS-PBC'!L15+'IS-PBC'!L16+'IS-PBC'!L18+'IS-PBC'!L19+'IS-PBC'!L20+'IS-PBC'!L21+'IS-PBC'!L79</f>
        <v>108059.05</v>
      </c>
      <c r="N13" s="710">
        <f>+'IS-PBC'!M6+'IS-PBC'!M7+'IS-PBC'!M8+'IS-PBC'!M9+'IS-PBC'!M10+'IS-PBC'!M11+'IS-PBC'!M12+'IS-PBC'!M13+'IS-PBC'!M14+'IS-PBC'!M15+'IS-PBC'!M16+'IS-PBC'!M18+'IS-PBC'!M19+'IS-PBC'!M20+'IS-PBC'!M21+'IS-PBC'!M79</f>
        <v>108467.16</v>
      </c>
      <c r="O13" s="10">
        <f t="shared" si="0"/>
        <v>1280630.46</v>
      </c>
      <c r="P13" s="44"/>
      <c r="Q13" s="10">
        <f t="shared" si="1"/>
        <v>1280630.46</v>
      </c>
      <c r="R13" s="10"/>
      <c r="S13" s="10">
        <f t="shared" si="2"/>
        <v>1280630.46</v>
      </c>
      <c r="U13" s="709">
        <f>+Q13</f>
        <v>1280630.46</v>
      </c>
    </row>
    <row r="14" spans="1:43" ht="15" customHeight="1">
      <c r="A14" s="23">
        <v>3</v>
      </c>
      <c r="B14" s="9" t="s">
        <v>694</v>
      </c>
      <c r="C14" s="10">
        <f>+'IS-PBC'!B22+'IS-PBC'!B34</f>
        <v>149642.23000000001</v>
      </c>
      <c r="D14" s="10">
        <f>+'IS-PBC'!C22+'IS-PBC'!C34</f>
        <v>154438.59</v>
      </c>
      <c r="E14" s="10">
        <f>+'IS-PBC'!D22+'IS-PBC'!D34</f>
        <v>159959.21000000002</v>
      </c>
      <c r="F14" s="10">
        <f>+'IS-PBC'!E22+'IS-PBC'!E34</f>
        <v>203742.44</v>
      </c>
      <c r="G14" s="10">
        <f>+'IS-PBC'!F22+'IS-PBC'!F34</f>
        <v>211385.76</v>
      </c>
      <c r="H14" s="10">
        <f>+'IS-PBC'!G22+'IS-PBC'!G34</f>
        <v>216500.33000000002</v>
      </c>
      <c r="I14" s="10">
        <f>+'IS-PBC'!H22+'IS-PBC'!H34</f>
        <v>222347.24</v>
      </c>
      <c r="J14" s="10">
        <f>+'IS-PBC'!I22+'IS-PBC'!I34</f>
        <v>224430.41999999998</v>
      </c>
      <c r="K14" s="10">
        <f>+'IS-PBC'!J22+'IS-PBC'!J34</f>
        <v>223260.87</v>
      </c>
      <c r="L14" s="10">
        <f>+'IS-PBC'!K22+'IS-PBC'!K34</f>
        <v>214330.21999999997</v>
      </c>
      <c r="M14" s="10">
        <f>+'IS-PBC'!L22+'IS-PBC'!L34</f>
        <v>205334.31</v>
      </c>
      <c r="N14" s="10">
        <f>+'IS-PBC'!M22+'IS-PBC'!M34</f>
        <v>188613.31</v>
      </c>
      <c r="O14" s="10">
        <f t="shared" si="0"/>
        <v>2373984.9299999997</v>
      </c>
      <c r="P14" s="10"/>
      <c r="Q14" s="10">
        <f t="shared" si="1"/>
        <v>2373984.9299999997</v>
      </c>
      <c r="R14" s="10"/>
      <c r="S14" s="10">
        <f t="shared" si="2"/>
        <v>2373984.9299999997</v>
      </c>
      <c r="U14" s="709"/>
    </row>
    <row r="15" spans="1:43" ht="15" customHeight="1">
      <c r="A15" s="23">
        <v>4</v>
      </c>
      <c r="B15" s="9" t="s">
        <v>695</v>
      </c>
      <c r="C15" s="10">
        <f>+'IS-PBC'!B23+'IS-PBC'!B24+'IS-PBC'!B25+'IS-PBC'!B26+'IS-PBC'!B27+'IS-PBC'!B28+'IS-PBC'!B29+'IS-PBC'!B30+'IS-PBC'!B31+'IS-PBC'!B32+'IS-PBC'!B33+'IS-PBC'!B35+'IS-PBC'!B36+'IS-PBC'!B37+'IS-PBC'!B38</f>
        <v>114069.62999999999</v>
      </c>
      <c r="D15" s="10">
        <f>+'IS-PBC'!C23+'IS-PBC'!C24+'IS-PBC'!C25+'IS-PBC'!C26+'IS-PBC'!C27+'IS-PBC'!C28+'IS-PBC'!C29+'IS-PBC'!C30+'IS-PBC'!C31+'IS-PBC'!C32+'IS-PBC'!C33+'IS-PBC'!C35+'IS-PBC'!C36+'IS-PBC'!C37+'IS-PBC'!C38</f>
        <v>117068.22000000002</v>
      </c>
      <c r="E15" s="10">
        <f>+'IS-PBC'!D23+'IS-PBC'!D24+'IS-PBC'!D25+'IS-PBC'!D26+'IS-PBC'!D27+'IS-PBC'!D28+'IS-PBC'!D29+'IS-PBC'!D30+'IS-PBC'!D31+'IS-PBC'!D32+'IS-PBC'!D33+'IS-PBC'!D35+'IS-PBC'!D36+'IS-PBC'!D37+'IS-PBC'!D38</f>
        <v>119720.6</v>
      </c>
      <c r="F15" s="10">
        <f>+'IS-PBC'!E23+'IS-PBC'!E24+'IS-PBC'!E25+'IS-PBC'!E26+'IS-PBC'!E27+'IS-PBC'!E28+'IS-PBC'!E29+'IS-PBC'!E30+'IS-PBC'!E31+'IS-PBC'!E32+'IS-PBC'!E33+'IS-PBC'!E35+'IS-PBC'!E36+'IS-PBC'!E37+'IS-PBC'!E38</f>
        <v>122026.04</v>
      </c>
      <c r="G15" s="10">
        <f>+'IS-PBC'!F23+'IS-PBC'!F24+'IS-PBC'!F25+'IS-PBC'!F26+'IS-PBC'!F27+'IS-PBC'!F28+'IS-PBC'!F29+'IS-PBC'!F30+'IS-PBC'!F31+'IS-PBC'!F32+'IS-PBC'!F33+'IS-PBC'!F35+'IS-PBC'!F36+'IS-PBC'!F37+'IS-PBC'!F38</f>
        <v>126389.48999999999</v>
      </c>
      <c r="H15" s="10">
        <f>+'IS-PBC'!G23+'IS-PBC'!G24+'IS-PBC'!G25+'IS-PBC'!G26+'IS-PBC'!G27+'IS-PBC'!G28+'IS-PBC'!G29+'IS-PBC'!G30+'IS-PBC'!G31+'IS-PBC'!G32+'IS-PBC'!G33+'IS-PBC'!G35+'IS-PBC'!G36+'IS-PBC'!G37+'IS-PBC'!G38</f>
        <v>126040.01</v>
      </c>
      <c r="I15" s="10">
        <f>+'IS-PBC'!H23+'IS-PBC'!H24+'IS-PBC'!H25+'IS-PBC'!H26+'IS-PBC'!H27+'IS-PBC'!H28+'IS-PBC'!H29+'IS-PBC'!H30+'IS-PBC'!H31+'IS-PBC'!H32+'IS-PBC'!H33+'IS-PBC'!H35+'IS-PBC'!H36+'IS-PBC'!H37+'IS-PBC'!H38</f>
        <v>131090.71</v>
      </c>
      <c r="J15" s="10">
        <f>+'IS-PBC'!I23+'IS-PBC'!I24+'IS-PBC'!I25+'IS-PBC'!I26+'IS-PBC'!I27+'IS-PBC'!I28+'IS-PBC'!I29+'IS-PBC'!I30+'IS-PBC'!I31+'IS-PBC'!I32+'IS-PBC'!I33+'IS-PBC'!I35+'IS-PBC'!I36+'IS-PBC'!I37+'IS-PBC'!I38</f>
        <v>129654.68999999999</v>
      </c>
      <c r="K15" s="10">
        <f>+'IS-PBC'!J23+'IS-PBC'!J24+'IS-PBC'!J25+'IS-PBC'!J26+'IS-PBC'!J27+'IS-PBC'!J28+'IS-PBC'!J29+'IS-PBC'!J30+'IS-PBC'!J31+'IS-PBC'!J32+'IS-PBC'!J33+'IS-PBC'!J35+'IS-PBC'!J36+'IS-PBC'!J37+'IS-PBC'!J38</f>
        <v>130305.10999999997</v>
      </c>
      <c r="L15" s="10">
        <f>+'IS-PBC'!K23+'IS-PBC'!K24+'IS-PBC'!K25+'IS-PBC'!K26+'IS-PBC'!K27+'IS-PBC'!K28+'IS-PBC'!K29+'IS-PBC'!K30+'IS-PBC'!K31+'IS-PBC'!K32+'IS-PBC'!K33+'IS-PBC'!K35+'IS-PBC'!K36+'IS-PBC'!K37+'IS-PBC'!K38</f>
        <v>126753.32999999999</v>
      </c>
      <c r="M15" s="10">
        <f>+'IS-PBC'!L23+'IS-PBC'!L24+'IS-PBC'!L25+'IS-PBC'!L26+'IS-PBC'!L27+'IS-PBC'!L28+'IS-PBC'!L29+'IS-PBC'!L30+'IS-PBC'!L31+'IS-PBC'!L32+'IS-PBC'!L33+'IS-PBC'!L35+'IS-PBC'!L36+'IS-PBC'!L37+'IS-PBC'!L38</f>
        <v>124842.47999999998</v>
      </c>
      <c r="N15" s="10">
        <f>+'IS-PBC'!M23+'IS-PBC'!M24+'IS-PBC'!M25+'IS-PBC'!M26+'IS-PBC'!M27+'IS-PBC'!M28+'IS-PBC'!M29+'IS-PBC'!M30+'IS-PBC'!M31+'IS-PBC'!M32+'IS-PBC'!M33+'IS-PBC'!M35+'IS-PBC'!M36+'IS-PBC'!M37+'IS-PBC'!M38</f>
        <v>116666.63999999997</v>
      </c>
      <c r="O15" s="10">
        <f t="shared" si="0"/>
        <v>1484626.9499999997</v>
      </c>
      <c r="P15" s="10"/>
      <c r="Q15" s="10">
        <f t="shared" si="1"/>
        <v>1484626.9499999997</v>
      </c>
      <c r="R15" s="10"/>
      <c r="S15" s="10">
        <f t="shared" si="2"/>
        <v>1484626.9499999997</v>
      </c>
      <c r="U15" s="709">
        <f>+Q15</f>
        <v>1484626.9499999997</v>
      </c>
    </row>
    <row r="16" spans="1:43" ht="15" customHeight="1">
      <c r="A16" s="23">
        <v>5</v>
      </c>
      <c r="B16" s="9" t="s">
        <v>696</v>
      </c>
      <c r="C16" s="10">
        <f>+'IS-PBC'!B39+'IS-PBC'!B51</f>
        <v>135690.01999999999</v>
      </c>
      <c r="D16" s="10">
        <f>+'IS-PBC'!C39+'IS-PBC'!C51</f>
        <v>63052.289999999994</v>
      </c>
      <c r="E16" s="10">
        <f>+'IS-PBC'!D39+'IS-PBC'!D51</f>
        <v>72997.48</v>
      </c>
      <c r="F16" s="10">
        <f>+'IS-PBC'!E39+'IS-PBC'!E51</f>
        <v>80425.850000000006</v>
      </c>
      <c r="G16" s="10">
        <f>+'IS-PBC'!F39+'IS-PBC'!F51</f>
        <v>90361.069999999992</v>
      </c>
      <c r="H16" s="10">
        <f>+'IS-PBC'!G39+'IS-PBC'!G51</f>
        <v>86951.680000000008</v>
      </c>
      <c r="I16" s="10">
        <f>+'IS-PBC'!H39+'IS-PBC'!H51</f>
        <v>86857.39</v>
      </c>
      <c r="J16" s="10">
        <f>+'IS-PBC'!I39+'IS-PBC'!I51</f>
        <v>82396.759999999995</v>
      </c>
      <c r="K16" s="10">
        <f>+'IS-PBC'!J39+'IS-PBC'!J51</f>
        <v>84351.87000000001</v>
      </c>
      <c r="L16" s="10">
        <f>+'IS-PBC'!K39+'IS-PBC'!K51</f>
        <v>96223.28</v>
      </c>
      <c r="M16" s="10">
        <f>+'IS-PBC'!L39+'IS-PBC'!L51</f>
        <v>101028.9</v>
      </c>
      <c r="N16" s="10">
        <f>+'IS-PBC'!M39+'IS-PBC'!M51</f>
        <v>90378.17</v>
      </c>
      <c r="O16" s="10">
        <f t="shared" si="0"/>
        <v>1070714.76</v>
      </c>
      <c r="P16" s="10">
        <f>-'IS-PBC'!Q57</f>
        <v>-71195.759999999995</v>
      </c>
      <c r="Q16" s="10">
        <f t="shared" si="1"/>
        <v>999519</v>
      </c>
      <c r="R16" s="10"/>
      <c r="S16" s="10">
        <f t="shared" si="2"/>
        <v>999519</v>
      </c>
      <c r="U16" s="709"/>
    </row>
    <row r="17" spans="1:21" ht="15" customHeight="1">
      <c r="A17" s="23">
        <v>6</v>
      </c>
      <c r="B17" s="9" t="s">
        <v>697</v>
      </c>
      <c r="C17" s="10">
        <f>+'IS-PBC'!B40+'IS-PBC'!B41+'IS-PBC'!B42+'IS-PBC'!B43+'IS-PBC'!B44+'IS-PBC'!B45+'IS-PBC'!B46+'IS-PBC'!B47+'IS-PBC'!B48+'IS-PBC'!B49+'IS-PBC'!B50+'IS-PBC'!B52+'IS-PBC'!B53+'IS-PBC'!B54</f>
        <v>54749.979999999996</v>
      </c>
      <c r="D17" s="10">
        <f>+'IS-PBC'!C40+'IS-PBC'!C41+'IS-PBC'!C42+'IS-PBC'!C43+'IS-PBC'!C44+'IS-PBC'!C45+'IS-PBC'!C46+'IS-PBC'!C47+'IS-PBC'!C48+'IS-PBC'!C49+'IS-PBC'!C50+'IS-PBC'!C52+'IS-PBC'!C53+'IS-PBC'!C54</f>
        <v>55055.12</v>
      </c>
      <c r="E17" s="10">
        <f>+'IS-PBC'!D40+'IS-PBC'!D41+'IS-PBC'!D42+'IS-PBC'!D43+'IS-PBC'!D44+'IS-PBC'!D45+'IS-PBC'!D46+'IS-PBC'!D47+'IS-PBC'!D48+'IS-PBC'!D49+'IS-PBC'!D50+'IS-PBC'!D52+'IS-PBC'!D53+'IS-PBC'!D54</f>
        <v>70245.559999999983</v>
      </c>
      <c r="F17" s="10">
        <f>+'IS-PBC'!E40+'IS-PBC'!E41+'IS-PBC'!E42+'IS-PBC'!E43+'IS-PBC'!E44+'IS-PBC'!E45+'IS-PBC'!E46+'IS-PBC'!E47+'IS-PBC'!E48+'IS-PBC'!E49+'IS-PBC'!E50+'IS-PBC'!E52+'IS-PBC'!E53+'IS-PBC'!E54</f>
        <v>73177.919999999984</v>
      </c>
      <c r="G17" s="10">
        <f>+'IS-PBC'!F40+'IS-PBC'!F41+'IS-PBC'!F42+'IS-PBC'!F43+'IS-PBC'!F44+'IS-PBC'!F45+'IS-PBC'!F46+'IS-PBC'!F47+'IS-PBC'!F48+'IS-PBC'!F49+'IS-PBC'!F50+'IS-PBC'!F52+'IS-PBC'!F53+'IS-PBC'!F54</f>
        <v>71168.5</v>
      </c>
      <c r="H17" s="10">
        <f>+'IS-PBC'!G40+'IS-PBC'!G41+'IS-PBC'!G42+'IS-PBC'!G43+'IS-PBC'!G44+'IS-PBC'!G45+'IS-PBC'!G46+'IS-PBC'!G47+'IS-PBC'!G48+'IS-PBC'!G49+'IS-PBC'!G50+'IS-PBC'!G52+'IS-PBC'!G53+'IS-PBC'!G54</f>
        <v>63075.37</v>
      </c>
      <c r="I17" s="10">
        <f>+'IS-PBC'!H40+'IS-PBC'!H41+'IS-PBC'!H42+'IS-PBC'!H43+'IS-PBC'!H44+'IS-PBC'!H45+'IS-PBC'!H46+'IS-PBC'!H47+'IS-PBC'!H48+'IS-PBC'!H49+'IS-PBC'!H50+'IS-PBC'!H52+'IS-PBC'!H53+'IS-PBC'!H54</f>
        <v>65637.849999999991</v>
      </c>
      <c r="J17" s="10">
        <f>+'IS-PBC'!I40+'IS-PBC'!I41+'IS-PBC'!I42+'IS-PBC'!I43+'IS-PBC'!I44+'IS-PBC'!I45+'IS-PBC'!I46+'IS-PBC'!I47+'IS-PBC'!I48+'IS-PBC'!I49+'IS-PBC'!I50+'IS-PBC'!I52+'IS-PBC'!I53+'IS-PBC'!I54</f>
        <v>74701.780000000013</v>
      </c>
      <c r="K17" s="10">
        <f>+'IS-PBC'!J40+'IS-PBC'!J41+'IS-PBC'!J42+'IS-PBC'!J43+'IS-PBC'!J44+'IS-PBC'!J45+'IS-PBC'!J46+'IS-PBC'!J47+'IS-PBC'!J48+'IS-PBC'!J49+'IS-PBC'!J50+'IS-PBC'!J52+'IS-PBC'!J53+'IS-PBC'!J54</f>
        <v>71286.260000000009</v>
      </c>
      <c r="L17" s="10">
        <f>+'IS-PBC'!K40+'IS-PBC'!K41+'IS-PBC'!K42+'IS-PBC'!K43+'IS-PBC'!K44+'IS-PBC'!K45+'IS-PBC'!K46+'IS-PBC'!K47+'IS-PBC'!K48+'IS-PBC'!K49+'IS-PBC'!K50+'IS-PBC'!K52+'IS-PBC'!K53+'IS-PBC'!K54</f>
        <v>70512.91</v>
      </c>
      <c r="M17" s="10">
        <f>+'IS-PBC'!L40+'IS-PBC'!L41+'IS-PBC'!L42+'IS-PBC'!L43+'IS-PBC'!L44+'IS-PBC'!L45+'IS-PBC'!L46+'IS-PBC'!L47+'IS-PBC'!L48+'IS-PBC'!L49+'IS-PBC'!L50+'IS-PBC'!L52+'IS-PBC'!L53+'IS-PBC'!L54</f>
        <v>61074.37999999999</v>
      </c>
      <c r="N17" s="10">
        <f>+'IS-PBC'!M40+'IS-PBC'!M41+'IS-PBC'!M42+'IS-PBC'!M43+'IS-PBC'!M44+'IS-PBC'!M45+'IS-PBC'!M46+'IS-PBC'!M47+'IS-PBC'!M48+'IS-PBC'!M49+'IS-PBC'!M50+'IS-PBC'!M52+'IS-PBC'!M53+'IS-PBC'!M54</f>
        <v>60069.989999999991</v>
      </c>
      <c r="O17" s="10">
        <f t="shared" si="0"/>
        <v>790755.62</v>
      </c>
      <c r="P17" s="10"/>
      <c r="Q17" s="10">
        <f t="shared" si="1"/>
        <v>790755.62</v>
      </c>
      <c r="R17" s="10"/>
      <c r="S17" s="10">
        <f t="shared" si="2"/>
        <v>790755.62</v>
      </c>
      <c r="U17" s="709">
        <f>+Q17</f>
        <v>790755.62</v>
      </c>
    </row>
    <row r="18" spans="1:21" ht="15" customHeight="1">
      <c r="A18" s="23">
        <v>7</v>
      </c>
      <c r="B18" s="9" t="s">
        <v>698</v>
      </c>
      <c r="C18" s="10">
        <f>+'IS-PBC'!B57+'IS-PBC'!B66</f>
        <v>7367.2</v>
      </c>
      <c r="D18" s="10">
        <f>+'IS-PBC'!C57+'IS-PBC'!C66</f>
        <v>46409.079999999994</v>
      </c>
      <c r="E18" s="10">
        <f>+'IS-PBC'!D57+'IS-PBC'!D66</f>
        <v>58126.630000000005</v>
      </c>
      <c r="F18" s="10">
        <f>+'IS-PBC'!E57+'IS-PBC'!E66</f>
        <v>54049.18</v>
      </c>
      <c r="G18" s="10">
        <f>+'IS-PBC'!F57+'IS-PBC'!F66</f>
        <v>55118.62</v>
      </c>
      <c r="H18" s="10">
        <f>+'IS-PBC'!G57+'IS-PBC'!G66</f>
        <v>46523.55</v>
      </c>
      <c r="I18" s="10">
        <f>+'IS-PBC'!H57+'IS-PBC'!H66</f>
        <v>48157.68</v>
      </c>
      <c r="J18" s="10">
        <f>+'IS-PBC'!I57+'IS-PBC'!I66</f>
        <v>59095.29</v>
      </c>
      <c r="K18" s="10">
        <f>+'IS-PBC'!J57+'IS-PBC'!J66</f>
        <v>53016.65</v>
      </c>
      <c r="L18" s="10">
        <f>+'IS-PBC'!K57+'IS-PBC'!K66</f>
        <v>71367.39</v>
      </c>
      <c r="M18" s="10">
        <f>+'IS-PBC'!L57+'IS-PBC'!L66</f>
        <v>88712.8</v>
      </c>
      <c r="N18" s="10">
        <f>+'IS-PBC'!M57+'IS-PBC'!M66</f>
        <v>75977.14</v>
      </c>
      <c r="O18" s="10">
        <f t="shared" si="0"/>
        <v>663921.21000000008</v>
      </c>
      <c r="P18" s="10">
        <f>-P16</f>
        <v>71195.759999999995</v>
      </c>
      <c r="Q18" s="10">
        <f t="shared" si="1"/>
        <v>735116.97000000009</v>
      </c>
      <c r="R18" s="10"/>
      <c r="S18" s="10">
        <f t="shared" si="2"/>
        <v>735116.97000000009</v>
      </c>
      <c r="U18" s="709"/>
    </row>
    <row r="19" spans="1:21" ht="15" customHeight="1">
      <c r="A19" s="23">
        <v>8</v>
      </c>
      <c r="B19" s="9" t="s">
        <v>699</v>
      </c>
      <c r="C19" s="10">
        <f>+'IS-PBC'!B55+'IS-PBC'!B56+'IS-PBC'!B58+'IS-PBC'!B59+'IS-PBC'!B60+'IS-PBC'!B61+'IS-PBC'!B62+'IS-PBC'!B63+'IS-PBC'!B64+'IS-PBC'!B65+'IS-PBC'!B67</f>
        <v>76040.289999999994</v>
      </c>
      <c r="D19" s="10">
        <f>+'IS-PBC'!C55+'IS-PBC'!C56+'IS-PBC'!C58+'IS-PBC'!C59+'IS-PBC'!C60+'IS-PBC'!C61+'IS-PBC'!C62+'IS-PBC'!C63+'IS-PBC'!C64+'IS-PBC'!C65+'IS-PBC'!C67</f>
        <v>70065.070000000007</v>
      </c>
      <c r="E19" s="10">
        <f>+'IS-PBC'!D55+'IS-PBC'!D56+'IS-PBC'!D58+'IS-PBC'!D59+'IS-PBC'!D60+'IS-PBC'!D61+'IS-PBC'!D62+'IS-PBC'!D63+'IS-PBC'!D64+'IS-PBC'!D65+'IS-PBC'!D67</f>
        <v>91491.480000000025</v>
      </c>
      <c r="F19" s="10">
        <f>+'IS-PBC'!E55+'IS-PBC'!E56+'IS-PBC'!E58+'IS-PBC'!E59+'IS-PBC'!E60+'IS-PBC'!E61+'IS-PBC'!E62+'IS-PBC'!E63+'IS-PBC'!E64+'IS-PBC'!E65+'IS-PBC'!E67</f>
        <v>100158.44</v>
      </c>
      <c r="G19" s="10">
        <f>+'IS-PBC'!F55+'IS-PBC'!F56+'IS-PBC'!F58+'IS-PBC'!F59+'IS-PBC'!F60+'IS-PBC'!F61+'IS-PBC'!F62+'IS-PBC'!F63+'IS-PBC'!F64+'IS-PBC'!F65+'IS-PBC'!F67</f>
        <v>104344.7</v>
      </c>
      <c r="H19" s="10">
        <f>+'IS-PBC'!G55+'IS-PBC'!G56+'IS-PBC'!G58+'IS-PBC'!G59+'IS-PBC'!G60+'IS-PBC'!G61+'IS-PBC'!G62+'IS-PBC'!G63+'IS-PBC'!G64+'IS-PBC'!G65+'IS-PBC'!G67</f>
        <v>99560.41</v>
      </c>
      <c r="I19" s="10">
        <f>+'IS-PBC'!H55+'IS-PBC'!H56+'IS-PBC'!H58+'IS-PBC'!H59+'IS-PBC'!H60+'IS-PBC'!H61+'IS-PBC'!H62+'IS-PBC'!H63+'IS-PBC'!H64+'IS-PBC'!H65+'IS-PBC'!H67</f>
        <v>94247.12999999999</v>
      </c>
      <c r="J19" s="10">
        <f>+'IS-PBC'!I55+'IS-PBC'!I56+'IS-PBC'!I58+'IS-PBC'!I59+'IS-PBC'!I60+'IS-PBC'!I61+'IS-PBC'!I62+'IS-PBC'!I63+'IS-PBC'!I64+'IS-PBC'!I65+'IS-PBC'!I67</f>
        <v>91356.449999999983</v>
      </c>
      <c r="K19" s="10">
        <f>+'IS-PBC'!J55+'IS-PBC'!J56+'IS-PBC'!J58+'IS-PBC'!J59+'IS-PBC'!J60+'IS-PBC'!J61+'IS-PBC'!J62+'IS-PBC'!J63+'IS-PBC'!J64+'IS-PBC'!J65+'IS-PBC'!J67</f>
        <v>95527.690000000017</v>
      </c>
      <c r="L19" s="10">
        <f>+'IS-PBC'!K55+'IS-PBC'!K56+'IS-PBC'!K58+'IS-PBC'!K59+'IS-PBC'!K60+'IS-PBC'!K61+'IS-PBC'!K62+'IS-PBC'!K63+'IS-PBC'!K64+'IS-PBC'!K65+'IS-PBC'!K67</f>
        <v>87588.89</v>
      </c>
      <c r="M19" s="10">
        <f>+'IS-PBC'!L55+'IS-PBC'!L56+'IS-PBC'!L58+'IS-PBC'!L59+'IS-PBC'!L60+'IS-PBC'!L61+'IS-PBC'!L62+'IS-PBC'!L63+'IS-PBC'!L64+'IS-PBC'!L65+'IS-PBC'!L67</f>
        <v>88679.06</v>
      </c>
      <c r="N19" s="10">
        <f>+'IS-PBC'!M55+'IS-PBC'!M56+'IS-PBC'!M58+'IS-PBC'!M59+'IS-PBC'!M60+'IS-PBC'!M61+'IS-PBC'!M62+'IS-PBC'!M63+'IS-PBC'!M64+'IS-PBC'!M65+'IS-PBC'!M67</f>
        <v>74780.849999999991</v>
      </c>
      <c r="O19" s="10">
        <f t="shared" si="0"/>
        <v>1073840.4600000002</v>
      </c>
      <c r="P19" s="10"/>
      <c r="Q19" s="10">
        <f t="shared" si="1"/>
        <v>1073840.4600000002</v>
      </c>
      <c r="R19" s="10"/>
      <c r="S19" s="10">
        <f t="shared" si="2"/>
        <v>1073840.4600000002</v>
      </c>
      <c r="U19" s="709">
        <f>+Q19</f>
        <v>1073840.4600000002</v>
      </c>
    </row>
    <row r="20" spans="1:21" ht="15" customHeight="1">
      <c r="A20" s="23">
        <v>9</v>
      </c>
      <c r="B20" s="9" t="s">
        <v>749</v>
      </c>
      <c r="C20" s="10">
        <f>+'IS-PBC'!B68</f>
        <v>20952.509999999998</v>
      </c>
      <c r="D20" s="10">
        <f>+'IS-PBC'!C68</f>
        <v>19749.13</v>
      </c>
      <c r="E20" s="10">
        <f>+'IS-PBC'!D68</f>
        <v>29063.49</v>
      </c>
      <c r="F20" s="10">
        <f>+'IS-PBC'!E68</f>
        <v>42658.21</v>
      </c>
      <c r="G20" s="10">
        <f>+'IS-PBC'!F68</f>
        <v>42900.13</v>
      </c>
      <c r="H20" s="10">
        <f>+'IS-PBC'!G68</f>
        <v>43514.400000000001</v>
      </c>
      <c r="I20" s="10">
        <f>+'IS-PBC'!H68</f>
        <v>40687.160000000003</v>
      </c>
      <c r="J20" s="10">
        <f>+'IS-PBC'!I68</f>
        <v>37640.76</v>
      </c>
      <c r="K20" s="10">
        <f>+'IS-PBC'!J68</f>
        <v>38378.550000000003</v>
      </c>
      <c r="L20" s="10">
        <f>+'IS-PBC'!K68</f>
        <v>33190.730000000003</v>
      </c>
      <c r="M20" s="10">
        <f>+'IS-PBC'!L68</f>
        <v>33297.86</v>
      </c>
      <c r="N20" s="10">
        <f>+'IS-PBC'!M68</f>
        <v>73716.08</v>
      </c>
      <c r="O20" s="10">
        <f t="shared" si="0"/>
        <v>455749.00999999995</v>
      </c>
      <c r="P20" s="10"/>
      <c r="Q20" s="10">
        <f t="shared" si="1"/>
        <v>455749.00999999995</v>
      </c>
      <c r="R20" s="10"/>
      <c r="S20" s="10">
        <f t="shared" si="2"/>
        <v>455749.00999999995</v>
      </c>
      <c r="U20" s="709">
        <f>+Q20</f>
        <v>455749.00999999995</v>
      </c>
    </row>
    <row r="21" spans="1:21" ht="15" customHeight="1">
      <c r="A21" s="23">
        <v>10</v>
      </c>
      <c r="B21" s="9" t="s">
        <v>750</v>
      </c>
      <c r="C21" s="10">
        <f>+'IS-PBC'!B69+'IS-PBC'!B70+'IS-PBC'!B71+'IS-PBC'!B72+'IS-PBC'!B73</f>
        <v>126726.29</v>
      </c>
      <c r="D21" s="10">
        <f>+'IS-PBC'!C69+'IS-PBC'!C70+'IS-PBC'!C71+'IS-PBC'!C72+'IS-PBC'!C73</f>
        <v>48221.89</v>
      </c>
      <c r="E21" s="10">
        <f>+'IS-PBC'!D69+'IS-PBC'!D70+'IS-PBC'!D71+'IS-PBC'!D72+'IS-PBC'!D73</f>
        <v>60493.440000000002</v>
      </c>
      <c r="F21" s="10">
        <f>+'IS-PBC'!E69+'IS-PBC'!E70+'IS-PBC'!E71+'IS-PBC'!E72+'IS-PBC'!E73</f>
        <v>60673.81</v>
      </c>
      <c r="G21" s="10">
        <f>+'IS-PBC'!F69+'IS-PBC'!F70+'IS-PBC'!F71+'IS-PBC'!F72+'IS-PBC'!F73</f>
        <v>66928.639999999999</v>
      </c>
      <c r="H21" s="10">
        <f>+'IS-PBC'!G69+'IS-PBC'!G70+'IS-PBC'!G71+'IS-PBC'!G72+'IS-PBC'!G73</f>
        <v>63008.130000000005</v>
      </c>
      <c r="I21" s="10">
        <f>+'IS-PBC'!H69+'IS-PBC'!H70+'IS-PBC'!H71+'IS-PBC'!H72+'IS-PBC'!H73</f>
        <v>64125.3</v>
      </c>
      <c r="J21" s="10">
        <f>+'IS-PBC'!I69+'IS-PBC'!I70+'IS-PBC'!I71+'IS-PBC'!I72+'IS-PBC'!I73</f>
        <v>67202.39</v>
      </c>
      <c r="K21" s="10">
        <f>+'IS-PBC'!J69+'IS-PBC'!J70+'IS-PBC'!J71+'IS-PBC'!J72+'IS-PBC'!J73</f>
        <v>110469.31</v>
      </c>
      <c r="L21" s="10">
        <f>+'IS-PBC'!K69+'IS-PBC'!K70+'IS-PBC'!K71+'IS-PBC'!K72+'IS-PBC'!K73</f>
        <v>55761.1</v>
      </c>
      <c r="M21" s="10">
        <f>+'IS-PBC'!L69+'IS-PBC'!L70+'IS-PBC'!L71+'IS-PBC'!L72+'IS-PBC'!L73</f>
        <v>59939.77</v>
      </c>
      <c r="N21" s="10">
        <f>+'IS-PBC'!M69+'IS-PBC'!M70+'IS-PBC'!M71+'IS-PBC'!M72+'IS-PBC'!M73</f>
        <v>44942.93</v>
      </c>
      <c r="O21" s="10">
        <f t="shared" si="0"/>
        <v>828493</v>
      </c>
      <c r="P21" s="10"/>
      <c r="Q21" s="10">
        <f t="shared" si="1"/>
        <v>828493</v>
      </c>
      <c r="R21" s="10"/>
      <c r="S21" s="10">
        <f t="shared" si="2"/>
        <v>828493</v>
      </c>
      <c r="U21" s="709">
        <f>+Q21</f>
        <v>828493</v>
      </c>
    </row>
    <row r="22" spans="1:21" ht="15" customHeight="1">
      <c r="A22" s="23">
        <v>11</v>
      </c>
      <c r="B22" s="9" t="s">
        <v>700</v>
      </c>
      <c r="C22" s="10">
        <f>+'IS-PBC'!B74</f>
        <v>2980.05</v>
      </c>
      <c r="D22" s="10">
        <f>+'IS-PBC'!C74</f>
        <v>457</v>
      </c>
      <c r="E22" s="10">
        <f>+'IS-PBC'!D74</f>
        <v>3172.9</v>
      </c>
      <c r="F22" s="10">
        <f>+'IS-PBC'!E74</f>
        <v>1470.5</v>
      </c>
      <c r="G22" s="10">
        <f>+'IS-PBC'!F74</f>
        <v>2371.85</v>
      </c>
      <c r="H22" s="10">
        <f>+'IS-PBC'!G74</f>
        <v>1109.5</v>
      </c>
      <c r="I22" s="10">
        <f>+'IS-PBC'!H74</f>
        <v>1278.3</v>
      </c>
      <c r="J22" s="10">
        <f>+'IS-PBC'!I74</f>
        <v>1032.26</v>
      </c>
      <c r="K22" s="10">
        <f>+'IS-PBC'!J74</f>
        <v>3135.35</v>
      </c>
      <c r="L22" s="10">
        <f>+'IS-PBC'!K74</f>
        <v>623</v>
      </c>
      <c r="M22" s="10">
        <f>+'IS-PBC'!L74</f>
        <v>2589.1999999999998</v>
      </c>
      <c r="N22" s="10">
        <f>+'IS-PBC'!M74</f>
        <v>1765.35</v>
      </c>
      <c r="O22" s="10">
        <f t="shared" si="0"/>
        <v>21985.26</v>
      </c>
      <c r="P22" s="10"/>
      <c r="Q22" s="10">
        <f t="shared" si="1"/>
        <v>21985.26</v>
      </c>
      <c r="R22" s="10"/>
      <c r="S22" s="10">
        <f t="shared" si="2"/>
        <v>21985.26</v>
      </c>
      <c r="U22" s="709"/>
    </row>
    <row r="23" spans="1:21" ht="15" customHeight="1">
      <c r="A23" s="23">
        <v>12</v>
      </c>
      <c r="B23" s="9" t="s">
        <v>701</v>
      </c>
      <c r="C23" s="10">
        <f>+'IS-PBC'!B75+'IS-PBC'!B78</f>
        <v>919.71</v>
      </c>
      <c r="D23" s="10">
        <f>+'IS-PBC'!C75+'IS-PBC'!C78</f>
        <v>868.19</v>
      </c>
      <c r="E23" s="10">
        <f>+'IS-PBC'!D75+'IS-PBC'!D78</f>
        <v>1619.31</v>
      </c>
      <c r="F23" s="10">
        <f>+'IS-PBC'!E75+'IS-PBC'!E78</f>
        <v>907.92000000000007</v>
      </c>
      <c r="G23" s="10">
        <f>+'IS-PBC'!F75+'IS-PBC'!F78</f>
        <v>1005.1800000000001</v>
      </c>
      <c r="H23" s="10">
        <f>+'IS-PBC'!G75+'IS-PBC'!G78</f>
        <v>1285.3599999999999</v>
      </c>
      <c r="I23" s="10">
        <f>+'IS-PBC'!H75+'IS-PBC'!H78</f>
        <v>1269.1599999999999</v>
      </c>
      <c r="J23" s="10">
        <f>+'IS-PBC'!I75+'IS-PBC'!I78</f>
        <v>930.76</v>
      </c>
      <c r="K23" s="10">
        <f>+'IS-PBC'!J75+'IS-PBC'!J78</f>
        <v>1198.07</v>
      </c>
      <c r="L23" s="10">
        <f>+'IS-PBC'!K75+'IS-PBC'!K78</f>
        <v>921.22</v>
      </c>
      <c r="M23" s="10">
        <f>+'IS-PBC'!L75+'IS-PBC'!L78</f>
        <v>1200.3</v>
      </c>
      <c r="N23" s="10">
        <f>+'IS-PBC'!M75+'IS-PBC'!M78</f>
        <v>1095.3499999999999</v>
      </c>
      <c r="O23" s="10">
        <f t="shared" si="0"/>
        <v>13220.529999999999</v>
      </c>
      <c r="P23" s="10"/>
      <c r="Q23" s="10">
        <f t="shared" si="1"/>
        <v>13220.529999999999</v>
      </c>
      <c r="R23" s="10"/>
      <c r="S23" s="10">
        <f t="shared" si="2"/>
        <v>13220.529999999999</v>
      </c>
      <c r="U23" s="709"/>
    </row>
    <row r="24" spans="1:21" ht="15" customHeight="1">
      <c r="A24" s="23">
        <v>13</v>
      </c>
      <c r="B24" s="9" t="s">
        <v>702</v>
      </c>
      <c r="C24" s="45">
        <f>+'IS-PBC'!B76+'IS-PBC'!B77</f>
        <v>60.73</v>
      </c>
      <c r="D24" s="45">
        <f>+'IS-PBC'!C76+'IS-PBC'!C77</f>
        <v>98.85</v>
      </c>
      <c r="E24" s="45">
        <f>+'IS-PBC'!D76+'IS-PBC'!D77</f>
        <v>72.930000000000007</v>
      </c>
      <c r="F24" s="45">
        <f>+'IS-PBC'!E76+'IS-PBC'!E77</f>
        <v>76.75</v>
      </c>
      <c r="G24" s="45">
        <f>+'IS-PBC'!F76+'IS-PBC'!F77</f>
        <v>90.86</v>
      </c>
      <c r="H24" s="45">
        <f>+'IS-PBC'!G76+'IS-PBC'!G77</f>
        <v>85.72</v>
      </c>
      <c r="I24" s="45">
        <f>+'IS-PBC'!H76+'IS-PBC'!H77</f>
        <v>137.97999999999999</v>
      </c>
      <c r="J24" s="45">
        <f>+'IS-PBC'!I76+'IS-PBC'!I77</f>
        <v>134.51</v>
      </c>
      <c r="K24" s="45">
        <f>+'IS-PBC'!J76+'IS-PBC'!J77</f>
        <v>111.67</v>
      </c>
      <c r="L24" s="45">
        <f>+'IS-PBC'!K76+'IS-PBC'!K77</f>
        <v>74.459999999999994</v>
      </c>
      <c r="M24" s="45">
        <f>+'IS-PBC'!L76+'IS-PBC'!L77</f>
        <v>128.57</v>
      </c>
      <c r="N24" s="45">
        <f>+'IS-PBC'!M76+'IS-PBC'!M77</f>
        <v>79.510000000000005</v>
      </c>
      <c r="O24" s="49">
        <f t="shared" si="0"/>
        <v>1152.54</v>
      </c>
      <c r="P24" s="45"/>
      <c r="Q24" s="45">
        <f t="shared" si="1"/>
        <v>1152.54</v>
      </c>
      <c r="R24" s="10"/>
      <c r="S24" s="49">
        <f t="shared" si="2"/>
        <v>1152.54</v>
      </c>
      <c r="U24" s="710">
        <f>+Q24</f>
        <v>1152.54</v>
      </c>
    </row>
    <row r="25" spans="1:21" ht="15" customHeight="1">
      <c r="B25" s="8"/>
      <c r="C25" s="711">
        <f t="shared" ref="C25:Q25" si="3">SUM(C12:C24)</f>
        <v>1031814.1</v>
      </c>
      <c r="D25" s="711">
        <f t="shared" si="3"/>
        <v>926769.99999999988</v>
      </c>
      <c r="E25" s="711">
        <f t="shared" si="3"/>
        <v>1010348.45</v>
      </c>
      <c r="F25" s="711">
        <f t="shared" si="3"/>
        <v>1168437.56</v>
      </c>
      <c r="G25" s="711">
        <f t="shared" si="3"/>
        <v>1180073.1299999999</v>
      </c>
      <c r="H25" s="711">
        <f t="shared" si="3"/>
        <v>1165977.3799999999</v>
      </c>
      <c r="I25" s="711">
        <f t="shared" si="3"/>
        <v>1166228.71</v>
      </c>
      <c r="J25" s="711">
        <f t="shared" si="3"/>
        <v>1190139.42</v>
      </c>
      <c r="K25" s="711">
        <f t="shared" si="3"/>
        <v>1222339.3700000001</v>
      </c>
      <c r="L25" s="711">
        <f t="shared" si="3"/>
        <v>1177516.3499999999</v>
      </c>
      <c r="M25" s="711">
        <f t="shared" si="3"/>
        <v>1175197.7200000002</v>
      </c>
      <c r="N25" s="711">
        <f t="shared" si="3"/>
        <v>1144126.7400000002</v>
      </c>
      <c r="O25" s="45">
        <f t="shared" si="3"/>
        <v>13558968.929999998</v>
      </c>
      <c r="P25" s="45">
        <f t="shared" si="3"/>
        <v>0</v>
      </c>
      <c r="Q25" s="45">
        <f t="shared" si="3"/>
        <v>13558968.929999998</v>
      </c>
      <c r="R25" s="10"/>
      <c r="S25" s="45">
        <f>SUM(S12:S24)</f>
        <v>13558968.929999998</v>
      </c>
      <c r="U25" s="231">
        <f>SUM(U12:U24)</f>
        <v>5915248.04</v>
      </c>
    </row>
    <row r="26" spans="1:21" ht="15" customHeight="1">
      <c r="B26" s="8"/>
      <c r="C26" s="10"/>
      <c r="D26" s="10"/>
      <c r="E26" s="10"/>
      <c r="F26" s="10"/>
      <c r="G26" s="10"/>
      <c r="H26" s="10"/>
      <c r="I26" s="10"/>
      <c r="J26" s="10"/>
      <c r="K26" s="10"/>
      <c r="L26" s="10"/>
      <c r="M26" s="10"/>
      <c r="N26" s="10"/>
      <c r="O26" s="10"/>
      <c r="P26" s="10"/>
      <c r="Q26" s="10"/>
      <c r="R26" s="10"/>
      <c r="S26" s="10"/>
      <c r="U26" s="13">
        <f>+U25/S25</f>
        <v>0.43626090380015353</v>
      </c>
    </row>
    <row r="27" spans="1:21" ht="15" customHeight="1">
      <c r="B27" s="11" t="s">
        <v>14</v>
      </c>
      <c r="C27" s="10"/>
      <c r="D27" s="10"/>
      <c r="E27" s="10"/>
      <c r="F27" s="10"/>
      <c r="G27" s="10"/>
      <c r="H27" s="10"/>
      <c r="I27" s="10"/>
      <c r="J27" s="10"/>
      <c r="K27" s="10"/>
      <c r="L27" s="10"/>
      <c r="M27" s="10"/>
      <c r="N27" s="10"/>
      <c r="O27" s="10"/>
      <c r="P27" s="46"/>
      <c r="Q27" s="10"/>
      <c r="R27" s="10"/>
      <c r="S27" s="10"/>
    </row>
    <row r="28" spans="1:21" ht="15" customHeight="1">
      <c r="A28" s="23">
        <v>14</v>
      </c>
      <c r="B28" s="9" t="s">
        <v>708</v>
      </c>
      <c r="C28" s="10">
        <f>+'IS-PBC'!B109</f>
        <v>226141.74</v>
      </c>
      <c r="D28" s="10">
        <f>+'IS-PBC'!C109</f>
        <v>213198.99</v>
      </c>
      <c r="E28" s="10">
        <f>+'IS-PBC'!D109</f>
        <v>322510.15999999997</v>
      </c>
      <c r="F28" s="10">
        <f>+'IS-PBC'!E109</f>
        <v>231035.99</v>
      </c>
      <c r="G28" s="10">
        <f>+'IS-PBC'!F109</f>
        <v>231186.8</v>
      </c>
      <c r="H28" s="10">
        <f>+'IS-PBC'!G109</f>
        <v>241242.57</v>
      </c>
      <c r="I28" s="10">
        <f>+'IS-PBC'!H109</f>
        <v>256471.74</v>
      </c>
      <c r="J28" s="10">
        <f>+'IS-PBC'!I109</f>
        <v>263825.68</v>
      </c>
      <c r="K28" s="10">
        <f>+'IS-PBC'!J109</f>
        <v>358911.71</v>
      </c>
      <c r="L28" s="10">
        <f>+'IS-PBC'!K109</f>
        <v>248020.38</v>
      </c>
      <c r="M28" s="10">
        <f>+'IS-PBC'!L109</f>
        <v>286262.55</v>
      </c>
      <c r="N28" s="10">
        <f>+'IS-PBC'!M109</f>
        <v>161686.1</v>
      </c>
      <c r="O28" s="10">
        <f t="shared" ref="O28:O69" si="4">SUM(C28:N28)</f>
        <v>3040494.4099999997</v>
      </c>
      <c r="P28" s="10"/>
      <c r="Q28" s="10">
        <f t="shared" ref="Q28:Q68" si="5">O28+P28</f>
        <v>3040494.4099999997</v>
      </c>
      <c r="R28" s="10"/>
      <c r="S28" s="10">
        <f t="shared" ref="S28:S69" si="6">Q28+R28</f>
        <v>3040494.4099999997</v>
      </c>
    </row>
    <row r="29" spans="1:21" ht="15" customHeight="1">
      <c r="A29" s="23">
        <v>15</v>
      </c>
      <c r="B29" s="9" t="s">
        <v>726</v>
      </c>
      <c r="C29" s="10">
        <f>+'IS-PBC'!B188+'IS-PBC'!B189</f>
        <v>62870.15</v>
      </c>
      <c r="D29" s="10">
        <f>+'IS-PBC'!C188+'IS-PBC'!C189</f>
        <v>73223.839999999997</v>
      </c>
      <c r="E29" s="10">
        <f>+'IS-PBC'!D188+'IS-PBC'!D189</f>
        <v>42083.73</v>
      </c>
      <c r="F29" s="10">
        <f>+'IS-PBC'!E188+'IS-PBC'!E189</f>
        <v>59677.39</v>
      </c>
      <c r="G29" s="10">
        <f>+'IS-PBC'!F188+'IS-PBC'!F189</f>
        <v>62560.78</v>
      </c>
      <c r="H29" s="10">
        <f>+'IS-PBC'!G188+'IS-PBC'!G189</f>
        <v>56585.399999999994</v>
      </c>
      <c r="I29" s="10">
        <f>+'IS-PBC'!H188+'IS-PBC'!H189</f>
        <v>89668.08</v>
      </c>
      <c r="J29" s="10">
        <f>+'IS-PBC'!I188+'IS-PBC'!I189</f>
        <v>39886.959999999999</v>
      </c>
      <c r="K29" s="10">
        <f>+'IS-PBC'!J188+'IS-PBC'!J189</f>
        <v>85534.29</v>
      </c>
      <c r="L29" s="10">
        <f>+'IS-PBC'!K188+'IS-PBC'!K189</f>
        <v>62483.54</v>
      </c>
      <c r="M29" s="10">
        <f>+'IS-PBC'!L188+'IS-PBC'!L189</f>
        <v>70404.479999999996</v>
      </c>
      <c r="N29" s="10">
        <f>+'IS-PBC'!M188+'IS-PBC'!M189</f>
        <v>-161681.68</v>
      </c>
      <c r="O29" s="10">
        <f t="shared" si="4"/>
        <v>543296.9600000002</v>
      </c>
      <c r="P29" s="10"/>
      <c r="Q29" s="10">
        <f t="shared" si="5"/>
        <v>543296.9600000002</v>
      </c>
      <c r="R29" s="10"/>
      <c r="S29" s="10">
        <f t="shared" si="6"/>
        <v>543296.9600000002</v>
      </c>
    </row>
    <row r="30" spans="1:21" ht="15" customHeight="1">
      <c r="A30" s="23">
        <v>16</v>
      </c>
      <c r="B30" s="9" t="s">
        <v>347</v>
      </c>
      <c r="C30" s="10">
        <f>+'IS-PBC'!B196+'IS-PBC'!B197</f>
        <v>2368</v>
      </c>
      <c r="D30" s="10">
        <f>+'IS-PBC'!C196+'IS-PBC'!C197</f>
        <v>4989.5200000000004</v>
      </c>
      <c r="E30" s="10">
        <f>+'IS-PBC'!D196+'IS-PBC'!D197</f>
        <v>1693.14</v>
      </c>
      <c r="F30" s="10">
        <f>+'IS-PBC'!E196+'IS-PBC'!E197</f>
        <v>2152</v>
      </c>
      <c r="G30" s="10">
        <f>+'IS-PBC'!F196+'IS-PBC'!F197</f>
        <v>2413.59</v>
      </c>
      <c r="H30" s="10">
        <f>+'IS-PBC'!G196+'IS-PBC'!G197</f>
        <v>2000.29</v>
      </c>
      <c r="I30" s="10">
        <f>+'IS-PBC'!H196+'IS-PBC'!H197</f>
        <v>2820.82</v>
      </c>
      <c r="J30" s="10">
        <f>+'IS-PBC'!I196+'IS-PBC'!I197</f>
        <v>1497</v>
      </c>
      <c r="K30" s="10">
        <f>+'IS-PBC'!J196+'IS-PBC'!J197</f>
        <v>3600</v>
      </c>
      <c r="L30" s="10">
        <f>+'IS-PBC'!K196+'IS-PBC'!K197</f>
        <v>885.82</v>
      </c>
      <c r="M30" s="10">
        <f>+'IS-PBC'!L196+'IS-PBC'!L197</f>
        <v>1886.97</v>
      </c>
      <c r="N30" s="10">
        <f>+'IS-PBC'!M196+'IS-PBC'!M197</f>
        <v>991.82</v>
      </c>
      <c r="O30" s="10">
        <f t="shared" si="4"/>
        <v>27298.97</v>
      </c>
      <c r="P30" s="10"/>
      <c r="Q30" s="10">
        <f t="shared" si="5"/>
        <v>27298.97</v>
      </c>
      <c r="R30" s="10"/>
      <c r="S30" s="10">
        <f t="shared" si="6"/>
        <v>27298.97</v>
      </c>
    </row>
    <row r="31" spans="1:21" ht="15" customHeight="1">
      <c r="A31" s="23">
        <v>17</v>
      </c>
      <c r="B31" s="9" t="s">
        <v>71</v>
      </c>
      <c r="C31" s="10">
        <f>+'IS-PBC'!B204+'IS-PBC'!B205+'IS-PBC'!B206</f>
        <v>77425.490000000005</v>
      </c>
      <c r="D31" s="10">
        <f>+'IS-PBC'!C204+'IS-PBC'!C205+'IS-PBC'!C206</f>
        <v>-204.87</v>
      </c>
      <c r="E31" s="10">
        <f>+'IS-PBC'!D204+'IS-PBC'!D205+'IS-PBC'!D206</f>
        <v>-187.83</v>
      </c>
      <c r="F31" s="10">
        <f>+'IS-PBC'!E204+'IS-PBC'!E205+'IS-PBC'!E206</f>
        <v>-69.66</v>
      </c>
      <c r="G31" s="10">
        <f>+'IS-PBC'!F204+'IS-PBC'!F205+'IS-PBC'!F206</f>
        <v>-37.450000000000003</v>
      </c>
      <c r="H31" s="10">
        <f>+'IS-PBC'!G204+'IS-PBC'!G205+'IS-PBC'!G206</f>
        <v>-403.08</v>
      </c>
      <c r="I31" s="10">
        <f>+'IS-PBC'!H204+'IS-PBC'!H205+'IS-PBC'!H206</f>
        <v>-172.36</v>
      </c>
      <c r="J31" s="10">
        <f>+'IS-PBC'!I204+'IS-PBC'!I205+'IS-PBC'!I206</f>
        <v>0</v>
      </c>
      <c r="K31" s="10">
        <f>+'IS-PBC'!J204+'IS-PBC'!J205+'IS-PBC'!J206</f>
        <v>-91.91</v>
      </c>
      <c r="L31" s="10">
        <f>+'IS-PBC'!K204+'IS-PBC'!K205+'IS-PBC'!K206</f>
        <v>-58.74</v>
      </c>
      <c r="M31" s="10">
        <f>+'IS-PBC'!L204+'IS-PBC'!L205+'IS-PBC'!L206</f>
        <v>-53.84</v>
      </c>
      <c r="N31" s="10">
        <f>+'IS-PBC'!M204+'IS-PBC'!M205+'IS-PBC'!M206</f>
        <v>-77802.2</v>
      </c>
      <c r="O31" s="10">
        <f t="shared" si="4"/>
        <v>-1656.4499999999971</v>
      </c>
      <c r="P31" s="10"/>
      <c r="Q31" s="10">
        <f t="shared" si="5"/>
        <v>-1656.4499999999971</v>
      </c>
      <c r="R31" s="10"/>
      <c r="S31" s="10">
        <f t="shared" si="6"/>
        <v>-1656.4499999999971</v>
      </c>
    </row>
    <row r="32" spans="1:21" ht="15" customHeight="1">
      <c r="A32" s="23">
        <v>18</v>
      </c>
      <c r="B32" s="9" t="s">
        <v>727</v>
      </c>
      <c r="C32" s="10">
        <f>+'IS-PBC'!B202+'IS-PBC'!B203</f>
        <v>1263.58</v>
      </c>
      <c r="D32" s="10">
        <f>+'IS-PBC'!C202+'IS-PBC'!C203</f>
        <v>435.27</v>
      </c>
      <c r="E32" s="10">
        <f>+'IS-PBC'!D202+'IS-PBC'!D203</f>
        <v>227.71</v>
      </c>
      <c r="F32" s="10">
        <f>+'IS-PBC'!E202+'IS-PBC'!E203</f>
        <v>1454.33</v>
      </c>
      <c r="G32" s="10">
        <f>+'IS-PBC'!F202+'IS-PBC'!F203</f>
        <v>1397.26</v>
      </c>
      <c r="H32" s="10">
        <f>+'IS-PBC'!G202+'IS-PBC'!G203</f>
        <v>329.06</v>
      </c>
      <c r="I32" s="10">
        <f>+'IS-PBC'!H202+'IS-PBC'!H203</f>
        <v>400.95</v>
      </c>
      <c r="J32" s="10">
        <f>+'IS-PBC'!I202+'IS-PBC'!I203</f>
        <v>934.86</v>
      </c>
      <c r="K32" s="10">
        <f>+'IS-PBC'!J202+'IS-PBC'!J203</f>
        <v>900.94</v>
      </c>
      <c r="L32" s="10">
        <f>+'IS-PBC'!K202+'IS-PBC'!K203</f>
        <v>1449.02</v>
      </c>
      <c r="M32" s="10">
        <f>+'IS-PBC'!L202+'IS-PBC'!L203</f>
        <v>931.14</v>
      </c>
      <c r="N32" s="10">
        <f>+'IS-PBC'!M202+'IS-PBC'!M203</f>
        <v>991.45</v>
      </c>
      <c r="O32" s="10">
        <f t="shared" si="4"/>
        <v>10715.57</v>
      </c>
      <c r="P32" s="10"/>
      <c r="Q32" s="10">
        <f t="shared" si="5"/>
        <v>10715.57</v>
      </c>
      <c r="R32" s="10"/>
      <c r="S32" s="10">
        <f t="shared" si="6"/>
        <v>10715.57</v>
      </c>
    </row>
    <row r="33" spans="1:19" ht="15" customHeight="1">
      <c r="A33" s="23">
        <v>19</v>
      </c>
      <c r="B33" s="9" t="s">
        <v>348</v>
      </c>
      <c r="C33" s="10">
        <f>+'IS-PBC'!B207</f>
        <v>6566.04</v>
      </c>
      <c r="D33" s="10">
        <f>+'IS-PBC'!C207</f>
        <v>7020.72</v>
      </c>
      <c r="E33" s="10">
        <f>+'IS-PBC'!D207</f>
        <v>6518.93</v>
      </c>
      <c r="F33" s="10">
        <f>+'IS-PBC'!E207</f>
        <v>7553.86</v>
      </c>
      <c r="G33" s="10">
        <f>+'IS-PBC'!F207</f>
        <v>7500.32</v>
      </c>
      <c r="H33" s="10">
        <f>+'IS-PBC'!G207</f>
        <v>7545.44</v>
      </c>
      <c r="I33" s="10">
        <f>+'IS-PBC'!H207</f>
        <v>9112.41</v>
      </c>
      <c r="J33" s="10">
        <f>+'IS-PBC'!I207</f>
        <v>-857.61</v>
      </c>
      <c r="K33" s="10">
        <f>+'IS-PBC'!J207</f>
        <v>10912.88</v>
      </c>
      <c r="L33" s="10">
        <f>+'IS-PBC'!K207</f>
        <v>10044.75</v>
      </c>
      <c r="M33" s="10">
        <f>+'IS-PBC'!L207</f>
        <v>8904.65</v>
      </c>
      <c r="N33" s="10">
        <f>+'IS-PBC'!M207</f>
        <v>9139.0499999999993</v>
      </c>
      <c r="O33" s="10">
        <f t="shared" si="4"/>
        <v>89961.439999999988</v>
      </c>
      <c r="P33" s="10"/>
      <c r="Q33" s="10">
        <f t="shared" si="5"/>
        <v>89961.439999999988</v>
      </c>
      <c r="R33" s="10"/>
      <c r="S33" s="10">
        <f t="shared" si="6"/>
        <v>89961.439999999988</v>
      </c>
    </row>
    <row r="34" spans="1:19" ht="15" customHeight="1">
      <c r="A34" s="23">
        <v>20</v>
      </c>
      <c r="B34" s="9" t="s">
        <v>722</v>
      </c>
      <c r="C34" s="10">
        <f>+'IS-PBC'!B168</f>
        <v>0</v>
      </c>
      <c r="D34" s="10">
        <f>+'IS-PBC'!C168</f>
        <v>0</v>
      </c>
      <c r="E34" s="10">
        <f>+'IS-PBC'!D168</f>
        <v>2250.58</v>
      </c>
      <c r="F34" s="10">
        <f>+'IS-PBC'!E168</f>
        <v>0</v>
      </c>
      <c r="G34" s="10">
        <f>+'IS-PBC'!F168</f>
        <v>0</v>
      </c>
      <c r="H34" s="10">
        <f>+'IS-PBC'!G168</f>
        <v>3100</v>
      </c>
      <c r="I34" s="10">
        <f>+'IS-PBC'!H168</f>
        <v>7108.67</v>
      </c>
      <c r="J34" s="10">
        <f>+'IS-PBC'!I168</f>
        <v>0</v>
      </c>
      <c r="K34" s="10">
        <f>+'IS-PBC'!J168</f>
        <v>0</v>
      </c>
      <c r="L34" s="10">
        <f>+'IS-PBC'!K168</f>
        <v>-6706.16</v>
      </c>
      <c r="M34" s="10">
        <f>+'IS-PBC'!L168</f>
        <v>0</v>
      </c>
      <c r="N34" s="10">
        <f>+'IS-PBC'!M168</f>
        <v>6706.16</v>
      </c>
      <c r="O34" s="10">
        <f t="shared" si="4"/>
        <v>12459.25</v>
      </c>
      <c r="P34" s="10"/>
      <c r="Q34" s="10">
        <f t="shared" si="5"/>
        <v>12459.25</v>
      </c>
      <c r="R34" s="10"/>
      <c r="S34" s="10">
        <f t="shared" si="6"/>
        <v>12459.25</v>
      </c>
    </row>
    <row r="35" spans="1:19" ht="15" customHeight="1">
      <c r="A35" s="23">
        <v>21</v>
      </c>
      <c r="B35" s="9" t="s">
        <v>349</v>
      </c>
      <c r="C35" s="10">
        <f>+'IS-PBC'!B209+'IS-PBC'!B210</f>
        <v>125</v>
      </c>
      <c r="D35" s="10">
        <f>+'IS-PBC'!C209+'IS-PBC'!C210</f>
        <v>0</v>
      </c>
      <c r="E35" s="10">
        <f>+'IS-PBC'!D209+'IS-PBC'!D210</f>
        <v>1500</v>
      </c>
      <c r="F35" s="10">
        <f>+'IS-PBC'!E209+'IS-PBC'!E210</f>
        <v>0</v>
      </c>
      <c r="G35" s="10">
        <f>+'IS-PBC'!F209+'IS-PBC'!F210</f>
        <v>0</v>
      </c>
      <c r="H35" s="10">
        <f>+'IS-PBC'!G209+'IS-PBC'!G210</f>
        <v>250</v>
      </c>
      <c r="I35" s="10">
        <f>+'IS-PBC'!H209+'IS-PBC'!H210</f>
        <v>0</v>
      </c>
      <c r="J35" s="10">
        <f>+'IS-PBC'!I209+'IS-PBC'!I210</f>
        <v>0</v>
      </c>
      <c r="K35" s="10">
        <f>+'IS-PBC'!J209+'IS-PBC'!J210</f>
        <v>500</v>
      </c>
      <c r="L35" s="10">
        <f>+'IS-PBC'!K209+'IS-PBC'!K210</f>
        <v>250</v>
      </c>
      <c r="M35" s="10">
        <f>+'IS-PBC'!L209+'IS-PBC'!L210</f>
        <v>700</v>
      </c>
      <c r="N35" s="10">
        <f>+'IS-PBC'!M209+'IS-PBC'!M210</f>
        <v>0</v>
      </c>
      <c r="O35" s="10">
        <f t="shared" si="4"/>
        <v>3325</v>
      </c>
      <c r="P35" s="10"/>
      <c r="Q35" s="10">
        <f t="shared" si="5"/>
        <v>3325</v>
      </c>
      <c r="R35" s="10"/>
      <c r="S35" s="10">
        <f t="shared" si="6"/>
        <v>3325</v>
      </c>
    </row>
    <row r="36" spans="1:19" ht="15" customHeight="1">
      <c r="A36" s="23">
        <v>22</v>
      </c>
      <c r="B36" s="9" t="s">
        <v>711</v>
      </c>
      <c r="C36" s="10">
        <f>+'IS-PBC'!B200+'IS-PBC'!B201</f>
        <v>410</v>
      </c>
      <c r="D36" s="10">
        <f>+'IS-PBC'!C200+'IS-PBC'!C201</f>
        <v>1720</v>
      </c>
      <c r="E36" s="10">
        <f>+'IS-PBC'!D200+'IS-PBC'!D201</f>
        <v>8625</v>
      </c>
      <c r="F36" s="10">
        <f>+'IS-PBC'!E200+'IS-PBC'!E201</f>
        <v>1720</v>
      </c>
      <c r="G36" s="10">
        <f>+'IS-PBC'!F200+'IS-PBC'!F201</f>
        <v>1720</v>
      </c>
      <c r="H36" s="10">
        <f>+'IS-PBC'!G200+'IS-PBC'!G201</f>
        <v>5195</v>
      </c>
      <c r="I36" s="10">
        <f>+'IS-PBC'!H200+'IS-PBC'!H201</f>
        <v>500</v>
      </c>
      <c r="J36" s="10">
        <f>+'IS-PBC'!I200+'IS-PBC'!I201</f>
        <v>3790</v>
      </c>
      <c r="K36" s="10">
        <f>+'IS-PBC'!J200+'IS-PBC'!J201</f>
        <v>1720</v>
      </c>
      <c r="L36" s="10">
        <f>+'IS-PBC'!K200+'IS-PBC'!K201</f>
        <v>201.37</v>
      </c>
      <c r="M36" s="10">
        <f>+'IS-PBC'!L200+'IS-PBC'!L201</f>
        <v>0</v>
      </c>
      <c r="N36" s="10">
        <f>+'IS-PBC'!M200+'IS-PBC'!M201</f>
        <v>5160</v>
      </c>
      <c r="O36" s="10">
        <f t="shared" si="4"/>
        <v>30761.37</v>
      </c>
      <c r="P36" s="10"/>
      <c r="Q36" s="10">
        <f t="shared" si="5"/>
        <v>30761.37</v>
      </c>
      <c r="R36" s="10"/>
      <c r="S36" s="10">
        <f t="shared" si="6"/>
        <v>30761.37</v>
      </c>
    </row>
    <row r="37" spans="1:19" ht="15" customHeight="1">
      <c r="A37" s="23">
        <v>23</v>
      </c>
      <c r="B37" s="9" t="s">
        <v>705</v>
      </c>
      <c r="C37" s="10">
        <f>+'IS-PBC'!B134</f>
        <v>541.73</v>
      </c>
      <c r="D37" s="10">
        <f>+'IS-PBC'!C134</f>
        <v>466.49</v>
      </c>
      <c r="E37" s="10">
        <f>+'IS-PBC'!D134</f>
        <v>620.01</v>
      </c>
      <c r="F37" s="10">
        <f>+'IS-PBC'!E134</f>
        <v>574.33000000000004</v>
      </c>
      <c r="G37" s="10">
        <f>+'IS-PBC'!F134</f>
        <v>492.61</v>
      </c>
      <c r="H37" s="10">
        <f>+'IS-PBC'!G134</f>
        <v>841.96</v>
      </c>
      <c r="I37" s="10">
        <f>+'IS-PBC'!H134</f>
        <v>569.52</v>
      </c>
      <c r="J37" s="10">
        <f>+'IS-PBC'!I134</f>
        <v>678.1</v>
      </c>
      <c r="K37" s="10">
        <f>+'IS-PBC'!J134</f>
        <v>282.72000000000003</v>
      </c>
      <c r="L37" s="10">
        <f>+'IS-PBC'!K134</f>
        <v>0</v>
      </c>
      <c r="M37" s="10">
        <f>+'IS-PBC'!L134</f>
        <v>565.44000000000005</v>
      </c>
      <c r="N37" s="10">
        <f>+'IS-PBC'!M134</f>
        <v>0</v>
      </c>
      <c r="O37" s="10">
        <f t="shared" si="4"/>
        <v>5632.91</v>
      </c>
      <c r="P37" s="10"/>
      <c r="Q37" s="10">
        <f t="shared" si="5"/>
        <v>5632.91</v>
      </c>
      <c r="R37" s="10"/>
      <c r="S37" s="10">
        <f t="shared" si="6"/>
        <v>5632.91</v>
      </c>
    </row>
    <row r="38" spans="1:19" ht="15" customHeight="1">
      <c r="A38" s="23">
        <v>24</v>
      </c>
      <c r="B38" s="9" t="s">
        <v>58</v>
      </c>
      <c r="C38" s="10">
        <f>+'IS-PBC'!B129+'IS-PBC'!B130+'IS-PBC'!B131+'IS-PBC'!B132+'IS-PBC'!B133+'IS-PBC'!B135+'IS-PBC'!B136+'IS-PBC'!B137+'IS-PBC'!B138+'IS-PBC'!B139</f>
        <v>279962.47000000003</v>
      </c>
      <c r="D38" s="10">
        <f>+'IS-PBC'!C129+'IS-PBC'!C130+'IS-PBC'!C131+'IS-PBC'!C132+'IS-PBC'!C133+'IS-PBC'!C135+'IS-PBC'!C136+'IS-PBC'!C137+'IS-PBC'!C138+'IS-PBC'!C139</f>
        <v>223684.48000000001</v>
      </c>
      <c r="E38" s="10">
        <f>+'IS-PBC'!D129+'IS-PBC'!D130+'IS-PBC'!D131+'IS-PBC'!D132+'IS-PBC'!D133+'IS-PBC'!D135+'IS-PBC'!D136+'IS-PBC'!D137+'IS-PBC'!D138+'IS-PBC'!D139</f>
        <v>299335.66000000003</v>
      </c>
      <c r="F38" s="10">
        <f>+'IS-PBC'!E129+'IS-PBC'!E130+'IS-PBC'!E131+'IS-PBC'!E132+'IS-PBC'!E133+'IS-PBC'!E135+'IS-PBC'!E136+'IS-PBC'!E137+'IS-PBC'!E138+'IS-PBC'!E139</f>
        <v>294846.95999999996</v>
      </c>
      <c r="G38" s="10">
        <f>+'IS-PBC'!F129+'IS-PBC'!F130+'IS-PBC'!F131+'IS-PBC'!F132+'IS-PBC'!F133+'IS-PBC'!F135+'IS-PBC'!F136+'IS-PBC'!F137+'IS-PBC'!F138+'IS-PBC'!F139</f>
        <v>334399.21999999997</v>
      </c>
      <c r="H38" s="10">
        <f>+'IS-PBC'!G129+'IS-PBC'!G130+'IS-PBC'!G131+'IS-PBC'!G132+'IS-PBC'!G133+'IS-PBC'!G135+'IS-PBC'!G136+'IS-PBC'!G137+'IS-PBC'!G138+'IS-PBC'!G139</f>
        <v>316471.62</v>
      </c>
      <c r="I38" s="10">
        <f>+'IS-PBC'!H129+'IS-PBC'!H130+'IS-PBC'!H131+'IS-PBC'!H132+'IS-PBC'!H133+'IS-PBC'!H135+'IS-PBC'!H136+'IS-PBC'!H137+'IS-PBC'!H138+'IS-PBC'!H139</f>
        <v>299913.19</v>
      </c>
      <c r="J38" s="10">
        <f>+'IS-PBC'!I129+'IS-PBC'!I130+'IS-PBC'!I131+'IS-PBC'!I132+'IS-PBC'!I133+'IS-PBC'!I135+'IS-PBC'!I136+'IS-PBC'!I137+'IS-PBC'!I138+'IS-PBC'!I139</f>
        <v>337985.64000000007</v>
      </c>
      <c r="K38" s="10">
        <f>+'IS-PBC'!J129+'IS-PBC'!J130+'IS-PBC'!J131+'IS-PBC'!J132+'IS-PBC'!J133+'IS-PBC'!J135+'IS-PBC'!J136+'IS-PBC'!J137+'IS-PBC'!J138+'IS-PBC'!J139</f>
        <v>308656.99</v>
      </c>
      <c r="L38" s="10">
        <f>+'IS-PBC'!K129+'IS-PBC'!K130+'IS-PBC'!K131+'IS-PBC'!K132+'IS-PBC'!K133+'IS-PBC'!K135+'IS-PBC'!K136+'IS-PBC'!K137+'IS-PBC'!K138+'IS-PBC'!K139</f>
        <v>316596.99000000005</v>
      </c>
      <c r="M38" s="10">
        <f>+'IS-PBC'!L129+'IS-PBC'!L130+'IS-PBC'!L131+'IS-PBC'!L132+'IS-PBC'!L133+'IS-PBC'!L135+'IS-PBC'!L136+'IS-PBC'!L137+'IS-PBC'!L138+'IS-PBC'!L139</f>
        <v>341739.60000000003</v>
      </c>
      <c r="N38" s="10">
        <f>+'IS-PBC'!M129+'IS-PBC'!M130+'IS-PBC'!M131+'IS-PBC'!M132+'IS-PBC'!M133+'IS-PBC'!M135+'IS-PBC'!M136+'IS-PBC'!M137+'IS-PBC'!M138+'IS-PBC'!M139</f>
        <v>272985.85000000003</v>
      </c>
      <c r="O38" s="10">
        <f t="shared" si="4"/>
        <v>3626578.6700000009</v>
      </c>
      <c r="P38" s="10"/>
      <c r="Q38" s="10">
        <f t="shared" si="5"/>
        <v>3626578.6700000009</v>
      </c>
      <c r="R38" s="10"/>
      <c r="S38" s="10">
        <f t="shared" si="6"/>
        <v>3626578.6700000009</v>
      </c>
    </row>
    <row r="39" spans="1:19" ht="15" customHeight="1">
      <c r="A39" s="23">
        <v>25</v>
      </c>
      <c r="B39" s="9" t="s">
        <v>102</v>
      </c>
      <c r="C39" s="10">
        <f>+'IS-PBC'!B127+'IS-PBC'!B128</f>
        <v>133763.86000000002</v>
      </c>
      <c r="D39" s="10">
        <f>+'IS-PBC'!C127+'IS-PBC'!C128</f>
        <v>49850.47</v>
      </c>
      <c r="E39" s="10">
        <f>+'IS-PBC'!D127+'IS-PBC'!D128</f>
        <v>99314.85</v>
      </c>
      <c r="F39" s="10">
        <f>+'IS-PBC'!E127+'IS-PBC'!E128</f>
        <v>110970.49</v>
      </c>
      <c r="G39" s="10">
        <f>+'IS-PBC'!F127+'IS-PBC'!F128</f>
        <v>98408.52</v>
      </c>
      <c r="H39" s="10">
        <f>+'IS-PBC'!G127+'IS-PBC'!G128</f>
        <v>104032.69</v>
      </c>
      <c r="I39" s="10">
        <f>+'IS-PBC'!H127+'IS-PBC'!H128</f>
        <v>48307.15</v>
      </c>
      <c r="J39" s="10">
        <f>+'IS-PBC'!I127+'IS-PBC'!I128</f>
        <v>122662.02</v>
      </c>
      <c r="K39" s="10">
        <f>+'IS-PBC'!J127+'IS-PBC'!J128</f>
        <v>9654.31</v>
      </c>
      <c r="L39" s="10">
        <f>+'IS-PBC'!K127+'IS-PBC'!K128</f>
        <v>214541.8</v>
      </c>
      <c r="M39" s="10">
        <f>+'IS-PBC'!L127+'IS-PBC'!L128</f>
        <v>106409.34</v>
      </c>
      <c r="N39" s="10">
        <f>+'IS-PBC'!M127+'IS-PBC'!M128</f>
        <v>59464.83</v>
      </c>
      <c r="O39" s="10">
        <f t="shared" si="4"/>
        <v>1157380.3300000003</v>
      </c>
      <c r="P39" s="10"/>
      <c r="Q39" s="10">
        <f t="shared" si="5"/>
        <v>1157380.3300000003</v>
      </c>
      <c r="R39" s="10"/>
      <c r="S39" s="10">
        <f t="shared" si="6"/>
        <v>1157380.3300000003</v>
      </c>
    </row>
    <row r="40" spans="1:19" ht="15" customHeight="1">
      <c r="A40" s="23">
        <v>26</v>
      </c>
      <c r="B40" s="9" t="s">
        <v>12</v>
      </c>
      <c r="C40" s="10">
        <v>0</v>
      </c>
      <c r="D40" s="10">
        <v>0</v>
      </c>
      <c r="E40" s="10">
        <v>0</v>
      </c>
      <c r="F40" s="10">
        <v>0</v>
      </c>
      <c r="G40" s="10">
        <v>0</v>
      </c>
      <c r="H40" s="10">
        <v>0</v>
      </c>
      <c r="I40" s="10">
        <v>0</v>
      </c>
      <c r="J40" s="10">
        <v>0</v>
      </c>
      <c r="K40" s="10">
        <v>0</v>
      </c>
      <c r="L40" s="10">
        <v>0</v>
      </c>
      <c r="M40" s="10">
        <v>0</v>
      </c>
      <c r="N40" s="10">
        <v>0</v>
      </c>
      <c r="O40" s="10">
        <f t="shared" si="4"/>
        <v>0</v>
      </c>
      <c r="P40" s="10"/>
      <c r="Q40" s="10">
        <f t="shared" si="5"/>
        <v>0</v>
      </c>
      <c r="R40" s="10"/>
      <c r="S40" s="10">
        <f t="shared" si="6"/>
        <v>0</v>
      </c>
    </row>
    <row r="41" spans="1:19" ht="15" customHeight="1">
      <c r="A41" s="23">
        <v>27</v>
      </c>
      <c r="B41" s="9" t="s">
        <v>720</v>
      </c>
      <c r="C41" s="10">
        <f>+'IS-PBC'!B148+'IS-PBC'!B149+'IS-PBC'!B150+'IS-PBC'!B151+'IS-PBC'!B152+'IS-PBC'!B153+'IS-PBC'!B154+'IS-PBC'!B155+'IS-PBC'!B156+'IS-PBC'!B157+'IS-PBC'!B158+'IS-PBC'!B159+'IS-PBC'!B160+'IS-PBC'!B161+'IS-PBC'!B162+'IS-PBC'!B163+'IS-PBC'!B164+'IS-PBC'!B183+'IS-PBC'!B184+'IS-PBC'!B185</f>
        <v>16430.280000000002</v>
      </c>
      <c r="D41" s="10">
        <f>+'IS-PBC'!C148+'IS-PBC'!C149+'IS-PBC'!C150+'IS-PBC'!C151+'IS-PBC'!C152+'IS-PBC'!C153+'IS-PBC'!C154+'IS-PBC'!C155+'IS-PBC'!C156+'IS-PBC'!C157+'IS-PBC'!C158+'IS-PBC'!C159+'IS-PBC'!C160+'IS-PBC'!C161+'IS-PBC'!C162+'IS-PBC'!C163+'IS-PBC'!C164+'IS-PBC'!C183+'IS-PBC'!C184+'IS-PBC'!C185</f>
        <v>15600.359999999999</v>
      </c>
      <c r="E41" s="10">
        <f>+'IS-PBC'!D148+'IS-PBC'!D149+'IS-PBC'!D150+'IS-PBC'!D151+'IS-PBC'!D152+'IS-PBC'!D153+'IS-PBC'!D154+'IS-PBC'!D155+'IS-PBC'!D156+'IS-PBC'!D157+'IS-PBC'!D158+'IS-PBC'!D159+'IS-PBC'!D160+'IS-PBC'!D161+'IS-PBC'!D162+'IS-PBC'!D163+'IS-PBC'!D164+'IS-PBC'!D183+'IS-PBC'!D184+'IS-PBC'!D185</f>
        <v>0</v>
      </c>
      <c r="F41" s="10">
        <f>+'IS-PBC'!E148+'IS-PBC'!E149+'IS-PBC'!E150+'IS-PBC'!E151+'IS-PBC'!E152+'IS-PBC'!E153+'IS-PBC'!E154+'IS-PBC'!E155+'IS-PBC'!E156+'IS-PBC'!E157+'IS-PBC'!E158+'IS-PBC'!E159+'IS-PBC'!E160+'IS-PBC'!E161+'IS-PBC'!E162+'IS-PBC'!E163+'IS-PBC'!E164+'IS-PBC'!E183+'IS-PBC'!E184+'IS-PBC'!E185</f>
        <v>16910.410000000003</v>
      </c>
      <c r="G41" s="10">
        <f>+'IS-PBC'!F148+'IS-PBC'!F149+'IS-PBC'!F150+'IS-PBC'!F151+'IS-PBC'!F152+'IS-PBC'!F153+'IS-PBC'!F154+'IS-PBC'!F155+'IS-PBC'!F156+'IS-PBC'!F157+'IS-PBC'!F158+'IS-PBC'!F159+'IS-PBC'!F160+'IS-PBC'!F161+'IS-PBC'!F162+'IS-PBC'!F163+'IS-PBC'!F164+'IS-PBC'!F183+'IS-PBC'!F184+'IS-PBC'!F185</f>
        <v>39383.089999999997</v>
      </c>
      <c r="H41" s="10">
        <f>+'IS-PBC'!G148+'IS-PBC'!G149+'IS-PBC'!G150+'IS-PBC'!G151+'IS-PBC'!G152+'IS-PBC'!G153+'IS-PBC'!G154+'IS-PBC'!G155+'IS-PBC'!G156+'IS-PBC'!G157+'IS-PBC'!G158+'IS-PBC'!G159+'IS-PBC'!G160+'IS-PBC'!G161+'IS-PBC'!G162+'IS-PBC'!G163+'IS-PBC'!G164+'IS-PBC'!G183+'IS-PBC'!G184+'IS-PBC'!G185</f>
        <v>19601.170000000006</v>
      </c>
      <c r="I41" s="10">
        <f>+'IS-PBC'!H148+'IS-PBC'!H149+'IS-PBC'!H150+'IS-PBC'!H151+'IS-PBC'!H152+'IS-PBC'!H153+'IS-PBC'!H154+'IS-PBC'!H155+'IS-PBC'!H156+'IS-PBC'!H157+'IS-PBC'!H158+'IS-PBC'!H159+'IS-PBC'!H160+'IS-PBC'!H161+'IS-PBC'!H162+'IS-PBC'!H163+'IS-PBC'!H164+'IS-PBC'!H183+'IS-PBC'!H184+'IS-PBC'!H185</f>
        <v>19561.12</v>
      </c>
      <c r="J41" s="10">
        <f>+'IS-PBC'!I148+'IS-PBC'!I149+'IS-PBC'!I150+'IS-PBC'!I151+'IS-PBC'!I152+'IS-PBC'!I153+'IS-PBC'!I154+'IS-PBC'!I155+'IS-PBC'!I156+'IS-PBC'!I157+'IS-PBC'!I158+'IS-PBC'!I159+'IS-PBC'!I160+'IS-PBC'!I161+'IS-PBC'!I162+'IS-PBC'!I163+'IS-PBC'!I164+'IS-PBC'!I183+'IS-PBC'!I184+'IS-PBC'!I185</f>
        <v>19960.3</v>
      </c>
      <c r="K41" s="10">
        <f>+'IS-PBC'!J148+'IS-PBC'!J149+'IS-PBC'!J150+'IS-PBC'!J151+'IS-PBC'!J152+'IS-PBC'!J153+'IS-PBC'!J154+'IS-PBC'!J155+'IS-PBC'!J156+'IS-PBC'!J157+'IS-PBC'!J158+'IS-PBC'!J159+'IS-PBC'!J160+'IS-PBC'!J161+'IS-PBC'!J162+'IS-PBC'!J163+'IS-PBC'!J164+'IS-PBC'!J183+'IS-PBC'!J184+'IS-PBC'!J185</f>
        <v>19976.63</v>
      </c>
      <c r="L41" s="10">
        <f>+'IS-PBC'!K148+'IS-PBC'!K149+'IS-PBC'!K150+'IS-PBC'!K151+'IS-PBC'!K152+'IS-PBC'!K153+'IS-PBC'!K154+'IS-PBC'!K155+'IS-PBC'!K156+'IS-PBC'!K157+'IS-PBC'!K158+'IS-PBC'!K159+'IS-PBC'!K160+'IS-PBC'!K161+'IS-PBC'!K162+'IS-PBC'!K163+'IS-PBC'!K164+'IS-PBC'!K183+'IS-PBC'!K184+'IS-PBC'!K185</f>
        <v>19875.239999999998</v>
      </c>
      <c r="M41" s="10">
        <f>+'IS-PBC'!L148+'IS-PBC'!L149+'IS-PBC'!L150+'IS-PBC'!L151+'IS-PBC'!L152+'IS-PBC'!L153+'IS-PBC'!L154+'IS-PBC'!L155+'IS-PBC'!L156+'IS-PBC'!L157+'IS-PBC'!L158+'IS-PBC'!L159+'IS-PBC'!L160+'IS-PBC'!L161+'IS-PBC'!L162+'IS-PBC'!L163+'IS-PBC'!L164+'IS-PBC'!L183+'IS-PBC'!L184+'IS-PBC'!L185</f>
        <v>19788.859999999997</v>
      </c>
      <c r="N41" s="10">
        <f>+'IS-PBC'!M148+'IS-PBC'!M149+'IS-PBC'!M150+'IS-PBC'!M151+'IS-PBC'!M152+'IS-PBC'!M153+'IS-PBC'!M154+'IS-PBC'!M155+'IS-PBC'!M156+'IS-PBC'!M157+'IS-PBC'!M158+'IS-PBC'!M159+'IS-PBC'!M160+'IS-PBC'!M161+'IS-PBC'!M162+'IS-PBC'!M163+'IS-PBC'!M164+'IS-PBC'!M183+'IS-PBC'!M184+'IS-PBC'!M185</f>
        <v>18668.94999999999</v>
      </c>
      <c r="O41" s="10">
        <f t="shared" si="4"/>
        <v>225756.40999999995</v>
      </c>
      <c r="P41" s="10"/>
      <c r="Q41" s="10">
        <f t="shared" si="5"/>
        <v>225756.40999999995</v>
      </c>
      <c r="R41" s="10"/>
      <c r="S41" s="10">
        <f t="shared" si="6"/>
        <v>225756.40999999995</v>
      </c>
    </row>
    <row r="42" spans="1:19" ht="15" customHeight="1">
      <c r="A42" s="23">
        <v>28</v>
      </c>
      <c r="B42" s="9" t="s">
        <v>29</v>
      </c>
      <c r="C42" s="10">
        <f>+'IS-PBC'!B169+'IS-PBC'!B145+'IS-PBC'!B146+'IS-PBC'!B147</f>
        <v>0</v>
      </c>
      <c r="D42" s="10">
        <f>+'IS-PBC'!C169+'IS-PBC'!C145+'IS-PBC'!C146+'IS-PBC'!C147</f>
        <v>18412.72</v>
      </c>
      <c r="E42" s="10">
        <f>+'IS-PBC'!D169+'IS-PBC'!D145+'IS-PBC'!D146+'IS-PBC'!D147</f>
        <v>0</v>
      </c>
      <c r="F42" s="10">
        <f>+'IS-PBC'!E169+'IS-PBC'!E145+'IS-PBC'!E146+'IS-PBC'!E147</f>
        <v>0</v>
      </c>
      <c r="G42" s="10">
        <f>+'IS-PBC'!F169+'IS-PBC'!F145+'IS-PBC'!F146+'IS-PBC'!F147</f>
        <v>20707.47</v>
      </c>
      <c r="H42" s="10">
        <f>+'IS-PBC'!G169+'IS-PBC'!G145+'IS-PBC'!G146+'IS-PBC'!G147</f>
        <v>-45832.7</v>
      </c>
      <c r="I42" s="10">
        <f>+'IS-PBC'!H169+'IS-PBC'!H145+'IS-PBC'!H146+'IS-PBC'!H147</f>
        <v>0</v>
      </c>
      <c r="J42" s="10">
        <f>+'IS-PBC'!I169+'IS-PBC'!I145+'IS-PBC'!I146+'IS-PBC'!I147</f>
        <v>0</v>
      </c>
      <c r="K42" s="10">
        <f>+'IS-PBC'!J169+'IS-PBC'!J145+'IS-PBC'!J146+'IS-PBC'!J147</f>
        <v>0</v>
      </c>
      <c r="L42" s="10">
        <f>+'IS-PBC'!K169+'IS-PBC'!K145+'IS-PBC'!K146+'IS-PBC'!K147</f>
        <v>0</v>
      </c>
      <c r="M42" s="10">
        <f>+'IS-PBC'!L169+'IS-PBC'!L145+'IS-PBC'!L146+'IS-PBC'!L147</f>
        <v>0</v>
      </c>
      <c r="N42" s="10">
        <f>+'IS-PBC'!M169+'IS-PBC'!M145+'IS-PBC'!M146+'IS-PBC'!M147</f>
        <v>286418.5</v>
      </c>
      <c r="O42" s="10">
        <f t="shared" si="4"/>
        <v>279705.99</v>
      </c>
      <c r="P42" s="10"/>
      <c r="Q42" s="10">
        <f t="shared" si="5"/>
        <v>279705.99</v>
      </c>
      <c r="R42" s="10"/>
      <c r="S42" s="10">
        <f t="shared" si="6"/>
        <v>279705.99</v>
      </c>
    </row>
    <row r="43" spans="1:19">
      <c r="A43" s="23">
        <v>29</v>
      </c>
      <c r="B43" s="9" t="s">
        <v>723</v>
      </c>
      <c r="C43" s="10">
        <f>+'IS-PBC'!B142</f>
        <v>13137.75</v>
      </c>
      <c r="D43" s="10">
        <f>+'IS-PBC'!C142</f>
        <v>1734.25</v>
      </c>
      <c r="E43" s="10">
        <f>+'IS-PBC'!D142</f>
        <v>6358.75</v>
      </c>
      <c r="F43" s="10">
        <f>+'IS-PBC'!E142</f>
        <v>398.75</v>
      </c>
      <c r="G43" s="10">
        <f>+'IS-PBC'!F142</f>
        <v>3216.25</v>
      </c>
      <c r="H43" s="10">
        <f>+'IS-PBC'!G142</f>
        <v>3355.5</v>
      </c>
      <c r="I43" s="10">
        <f>+'IS-PBC'!H142</f>
        <v>607.5</v>
      </c>
      <c r="J43" s="10">
        <f>+'IS-PBC'!I142</f>
        <v>6369.25</v>
      </c>
      <c r="K43" s="10">
        <f>+'IS-PBC'!J142</f>
        <v>10262.25</v>
      </c>
      <c r="L43" s="10">
        <f>+'IS-PBC'!K142</f>
        <v>90</v>
      </c>
      <c r="M43" s="10">
        <f>+'IS-PBC'!L142</f>
        <v>12086.75</v>
      </c>
      <c r="N43" s="10">
        <f>+'IS-PBC'!M142</f>
        <v>1016.5</v>
      </c>
      <c r="O43" s="10">
        <f t="shared" si="4"/>
        <v>58633.5</v>
      </c>
      <c r="Q43" s="10">
        <f t="shared" si="5"/>
        <v>58633.5</v>
      </c>
      <c r="S43" s="10">
        <f t="shared" si="6"/>
        <v>58633.5</v>
      </c>
    </row>
    <row r="44" spans="1:19" ht="15" customHeight="1">
      <c r="A44" s="23">
        <v>30</v>
      </c>
      <c r="B44" s="9" t="s">
        <v>709</v>
      </c>
      <c r="C44" s="10">
        <f>+'IS-PBC'!B141</f>
        <v>50529.58</v>
      </c>
      <c r="D44" s="10">
        <f>+'IS-PBC'!C141</f>
        <v>50864.53</v>
      </c>
      <c r="E44" s="10">
        <f>+'IS-PBC'!D141</f>
        <v>50864.53</v>
      </c>
      <c r="F44" s="10">
        <f>+'IS-PBC'!E141</f>
        <v>50864.53</v>
      </c>
      <c r="G44" s="10">
        <f>+'IS-PBC'!F141</f>
        <v>101729.06</v>
      </c>
      <c r="H44" s="10">
        <f>+'IS-PBC'!G141</f>
        <v>0</v>
      </c>
      <c r="I44" s="10">
        <f>+'IS-PBC'!H141</f>
        <v>53027.11</v>
      </c>
      <c r="J44" s="10">
        <f>+'IS-PBC'!I141</f>
        <v>67284.02</v>
      </c>
      <c r="K44" s="10">
        <f>+'IS-PBC'!J141</f>
        <v>53284.02</v>
      </c>
      <c r="L44" s="10">
        <f>+'IS-PBC'!K141</f>
        <v>53284.02</v>
      </c>
      <c r="M44" s="10">
        <f>+'IS-PBC'!L141</f>
        <v>39284.019999999997</v>
      </c>
      <c r="N44" s="10">
        <f>+'IS-PBC'!M141</f>
        <v>53284.02</v>
      </c>
      <c r="O44" s="10">
        <f t="shared" si="4"/>
        <v>624299.44000000006</v>
      </c>
      <c r="P44" s="10"/>
      <c r="Q44" s="10">
        <f t="shared" si="5"/>
        <v>624299.44000000006</v>
      </c>
      <c r="R44" s="10"/>
      <c r="S44" s="10">
        <f t="shared" si="6"/>
        <v>624299.44000000006</v>
      </c>
    </row>
    <row r="45" spans="1:19" ht="15" customHeight="1">
      <c r="A45" s="23">
        <v>31</v>
      </c>
      <c r="B45" s="9" t="s">
        <v>706</v>
      </c>
      <c r="C45" s="10">
        <f>+'IS-PBC'!B118+'IS-PBC'!B119+'IS-PBC'!B120+'IS-PBC'!B192</f>
        <v>3370.09</v>
      </c>
      <c r="D45" s="10">
        <f>+'IS-PBC'!C118+'IS-PBC'!C119+'IS-PBC'!C120+'IS-PBC'!C192</f>
        <v>2923.6899999999996</v>
      </c>
      <c r="E45" s="10">
        <f>+'IS-PBC'!D118+'IS-PBC'!D119+'IS-PBC'!D120+'IS-PBC'!D192</f>
        <v>3250.3999999999996</v>
      </c>
      <c r="F45" s="10">
        <f>+'IS-PBC'!E118+'IS-PBC'!E119+'IS-PBC'!E120+'IS-PBC'!E192</f>
        <v>0</v>
      </c>
      <c r="G45" s="10">
        <f>+'IS-PBC'!F118+'IS-PBC'!F119+'IS-PBC'!F120+'IS-PBC'!F192</f>
        <v>38296.9</v>
      </c>
      <c r="H45" s="10">
        <f>+'IS-PBC'!G118+'IS-PBC'!G119+'IS-PBC'!G120+'IS-PBC'!G192</f>
        <v>1649.58</v>
      </c>
      <c r="I45" s="10">
        <f>+'IS-PBC'!H118+'IS-PBC'!H119+'IS-PBC'!H120+'IS-PBC'!H192</f>
        <v>505</v>
      </c>
      <c r="J45" s="10">
        <f>+'IS-PBC'!I118+'IS-PBC'!I119+'IS-PBC'!I120+'IS-PBC'!I192</f>
        <v>1838.07</v>
      </c>
      <c r="K45" s="10">
        <f>+'IS-PBC'!J118+'IS-PBC'!J119+'IS-PBC'!J120+'IS-PBC'!J192</f>
        <v>847.84999999999991</v>
      </c>
      <c r="L45" s="10">
        <f>+'IS-PBC'!K118+'IS-PBC'!K119+'IS-PBC'!K120+'IS-PBC'!K192</f>
        <v>7137.57</v>
      </c>
      <c r="M45" s="10">
        <f>+'IS-PBC'!L118+'IS-PBC'!L119+'IS-PBC'!L120+'IS-PBC'!L192</f>
        <v>5198.05</v>
      </c>
      <c r="N45" s="10">
        <f>+'IS-PBC'!M118+'IS-PBC'!M119+'IS-PBC'!M120+'IS-PBC'!M192</f>
        <v>-42446.38</v>
      </c>
      <c r="O45" s="10">
        <f t="shared" si="4"/>
        <v>22570.820000000007</v>
      </c>
      <c r="P45" s="10"/>
      <c r="Q45" s="10">
        <f t="shared" si="5"/>
        <v>22570.820000000007</v>
      </c>
      <c r="R45" s="10"/>
      <c r="S45" s="10">
        <f t="shared" si="6"/>
        <v>22570.820000000007</v>
      </c>
    </row>
    <row r="46" spans="1:19" ht="15" customHeight="1">
      <c r="A46" s="23">
        <v>32</v>
      </c>
      <c r="B46" s="9" t="s">
        <v>719</v>
      </c>
      <c r="C46" s="10">
        <f>+'IS-PBC'!B181</f>
        <v>29446.81</v>
      </c>
      <c r="D46" s="10">
        <f>+'IS-PBC'!C181</f>
        <v>29446.82</v>
      </c>
      <c r="E46" s="10">
        <f>+'IS-PBC'!D181</f>
        <v>0</v>
      </c>
      <c r="F46" s="10">
        <f>+'IS-PBC'!E181</f>
        <v>0</v>
      </c>
      <c r="G46" s="10">
        <f>+'IS-PBC'!F181</f>
        <v>-600.52</v>
      </c>
      <c r="H46" s="10">
        <f>+'IS-PBC'!G181</f>
        <v>30268.26</v>
      </c>
      <c r="I46" s="10">
        <f>+'IS-PBC'!H181</f>
        <v>0</v>
      </c>
      <c r="J46" s="10">
        <f>+'IS-PBC'!I181</f>
        <v>49444.45</v>
      </c>
      <c r="K46" s="10">
        <f>+'IS-PBC'!J181</f>
        <v>44735.45</v>
      </c>
      <c r="L46" s="10">
        <f>+'IS-PBC'!K181</f>
        <v>47089.95</v>
      </c>
      <c r="M46" s="10">
        <f>+'IS-PBC'!L181</f>
        <v>47089.95</v>
      </c>
      <c r="N46" s="10">
        <f>+'IS-PBC'!M181</f>
        <v>253352.9</v>
      </c>
      <c r="O46" s="10">
        <f t="shared" si="4"/>
        <v>530274.07000000007</v>
      </c>
      <c r="P46" s="10"/>
      <c r="Q46" s="10">
        <f t="shared" si="5"/>
        <v>530274.07000000007</v>
      </c>
      <c r="R46" s="10"/>
      <c r="S46" s="10">
        <f t="shared" si="6"/>
        <v>530274.07000000007</v>
      </c>
    </row>
    <row r="47" spans="1:19" ht="15" customHeight="1">
      <c r="A47" s="23">
        <v>33</v>
      </c>
      <c r="B47" s="9" t="s">
        <v>718</v>
      </c>
      <c r="C47" s="10">
        <f>+'IS-PBC'!B167+'IS-PBC'!B170+'IS-PBC'!B171+'IS-PBC'!B172+'IS-PBC'!B173+'IS-PBC'!B174+'IS-PBC'!B175+'IS-PBC'!B176+'IS-PBC'!B177+'IS-PBC'!B179+'IS-PBC'!B180</f>
        <v>0</v>
      </c>
      <c r="D47" s="10">
        <f>+'IS-PBC'!C167+'IS-PBC'!C170+'IS-PBC'!C171+'IS-PBC'!C172+'IS-PBC'!C173+'IS-PBC'!C174+'IS-PBC'!C175+'IS-PBC'!C176+'IS-PBC'!C177+'IS-PBC'!C179+'IS-PBC'!C180</f>
        <v>2100</v>
      </c>
      <c r="E47" s="10">
        <f>+'IS-PBC'!D167+'IS-PBC'!D170+'IS-PBC'!D171+'IS-PBC'!D172+'IS-PBC'!D173+'IS-PBC'!D174+'IS-PBC'!D175+'IS-PBC'!D176+'IS-PBC'!D177+'IS-PBC'!D179+'IS-PBC'!D180</f>
        <v>420</v>
      </c>
      <c r="F47" s="10">
        <f>+'IS-PBC'!E167+'IS-PBC'!E170+'IS-PBC'!E171+'IS-PBC'!E172+'IS-PBC'!E173+'IS-PBC'!E174+'IS-PBC'!E175+'IS-PBC'!E176+'IS-PBC'!E177+'IS-PBC'!E179+'IS-PBC'!E180</f>
        <v>0</v>
      </c>
      <c r="G47" s="10">
        <f>+'IS-PBC'!F167+'IS-PBC'!F170+'IS-PBC'!F171+'IS-PBC'!F172+'IS-PBC'!F173+'IS-PBC'!F174+'IS-PBC'!F175+'IS-PBC'!F176+'IS-PBC'!F177+'IS-PBC'!F179+'IS-PBC'!F180</f>
        <v>0</v>
      </c>
      <c r="H47" s="10">
        <f>+'IS-PBC'!G167+'IS-PBC'!G170+'IS-PBC'!G171+'IS-PBC'!G172+'IS-PBC'!G173+'IS-PBC'!G174+'IS-PBC'!G175+'IS-PBC'!G176+'IS-PBC'!G177+'IS-PBC'!G179+'IS-PBC'!G180</f>
        <v>0</v>
      </c>
      <c r="I47" s="10">
        <f>+'IS-PBC'!H167+'IS-PBC'!H170+'IS-PBC'!H171+'IS-PBC'!H172+'IS-PBC'!H173+'IS-PBC'!H174+'IS-PBC'!H175+'IS-PBC'!H176+'IS-PBC'!H177+'IS-PBC'!H179+'IS-PBC'!H180</f>
        <v>998</v>
      </c>
      <c r="J47" s="10">
        <f>+'IS-PBC'!I167+'IS-PBC'!I170+'IS-PBC'!I171+'IS-PBC'!I172+'IS-PBC'!I173+'IS-PBC'!I174+'IS-PBC'!I175+'IS-PBC'!I176+'IS-PBC'!I177+'IS-PBC'!I179+'IS-PBC'!I180</f>
        <v>1050</v>
      </c>
      <c r="K47" s="10">
        <f>+'IS-PBC'!J167+'IS-PBC'!J170+'IS-PBC'!J171+'IS-PBC'!J172+'IS-PBC'!J173+'IS-PBC'!J174+'IS-PBC'!J175+'IS-PBC'!J176+'IS-PBC'!J177+'IS-PBC'!J179+'IS-PBC'!J180</f>
        <v>0</v>
      </c>
      <c r="L47" s="10">
        <f>+'IS-PBC'!K167+'IS-PBC'!K170+'IS-PBC'!K171+'IS-PBC'!K172+'IS-PBC'!K173+'IS-PBC'!K174+'IS-PBC'!K175+'IS-PBC'!K176+'IS-PBC'!K177+'IS-PBC'!K179+'IS-PBC'!K180</f>
        <v>2142</v>
      </c>
      <c r="M47" s="10">
        <f>+'IS-PBC'!L167+'IS-PBC'!L170+'IS-PBC'!L171+'IS-PBC'!L172+'IS-PBC'!L173+'IS-PBC'!L174+'IS-PBC'!L175+'IS-PBC'!L176+'IS-PBC'!L177+'IS-PBC'!L179+'IS-PBC'!L180</f>
        <v>210</v>
      </c>
      <c r="N47" s="10">
        <f>+'IS-PBC'!M167+'IS-PBC'!M170+'IS-PBC'!M171+'IS-PBC'!M172+'IS-PBC'!M173+'IS-PBC'!M174+'IS-PBC'!M175+'IS-PBC'!M176+'IS-PBC'!M177+'IS-PBC'!M179+'IS-PBC'!M180</f>
        <v>0</v>
      </c>
      <c r="O47" s="10">
        <f t="shared" si="4"/>
        <v>6920</v>
      </c>
      <c r="P47" s="10"/>
      <c r="Q47" s="10">
        <f t="shared" si="5"/>
        <v>6920</v>
      </c>
      <c r="R47" s="10"/>
      <c r="S47" s="10">
        <f t="shared" si="6"/>
        <v>6920</v>
      </c>
    </row>
    <row r="48" spans="1:19" ht="15" customHeight="1">
      <c r="A48" s="23">
        <v>34</v>
      </c>
      <c r="B48" s="9" t="s">
        <v>716</v>
      </c>
      <c r="C48" s="10">
        <f>+'IS-PBC'!B190+'IS-PBC'!B191</f>
        <v>17602.43</v>
      </c>
      <c r="D48" s="10">
        <f>+'IS-PBC'!C190+'IS-PBC'!C191</f>
        <v>19144.97</v>
      </c>
      <c r="E48" s="10">
        <f>+'IS-PBC'!D190+'IS-PBC'!D191</f>
        <v>16579.95</v>
      </c>
      <c r="F48" s="10">
        <f>+'IS-PBC'!E190+'IS-PBC'!E191</f>
        <v>11046.13</v>
      </c>
      <c r="G48" s="10">
        <f>+'IS-PBC'!F190+'IS-PBC'!F191</f>
        <v>20753.36</v>
      </c>
      <c r="H48" s="10">
        <f>+'IS-PBC'!G190+'IS-PBC'!G191</f>
        <v>16416.59</v>
      </c>
      <c r="I48" s="10">
        <f>+'IS-PBC'!H190+'IS-PBC'!H191</f>
        <v>22088.9</v>
      </c>
      <c r="J48" s="10">
        <f>+'IS-PBC'!I190+'IS-PBC'!I191</f>
        <v>6786.05</v>
      </c>
      <c r="K48" s="10">
        <f>+'IS-PBC'!J190+'IS-PBC'!J191</f>
        <v>16045.97</v>
      </c>
      <c r="L48" s="10">
        <f>+'IS-PBC'!K190+'IS-PBC'!K191</f>
        <v>22415.370000000003</v>
      </c>
      <c r="M48" s="10">
        <f>+'IS-PBC'!L190+'IS-PBC'!L191</f>
        <v>19732.54</v>
      </c>
      <c r="N48" s="10">
        <f>+'IS-PBC'!M190+'IS-PBC'!M191</f>
        <v>28168.35</v>
      </c>
      <c r="O48" s="10">
        <f t="shared" si="4"/>
        <v>216780.61</v>
      </c>
      <c r="P48" s="10"/>
      <c r="Q48" s="10">
        <f t="shared" si="5"/>
        <v>216780.61</v>
      </c>
      <c r="R48" s="10"/>
      <c r="S48" s="10">
        <f t="shared" si="6"/>
        <v>216780.61</v>
      </c>
    </row>
    <row r="49" spans="1:19" ht="15" customHeight="1">
      <c r="A49" s="23">
        <v>35</v>
      </c>
      <c r="B49" s="9" t="s">
        <v>729</v>
      </c>
      <c r="C49" s="10">
        <v>0</v>
      </c>
      <c r="D49" s="10">
        <v>0</v>
      </c>
      <c r="E49" s="10">
        <v>0</v>
      </c>
      <c r="F49" s="10">
        <v>0</v>
      </c>
      <c r="G49" s="10">
        <v>0</v>
      </c>
      <c r="H49" s="10">
        <v>0</v>
      </c>
      <c r="I49" s="10">
        <v>0</v>
      </c>
      <c r="J49" s="10">
        <v>0</v>
      </c>
      <c r="K49" s="10">
        <v>0</v>
      </c>
      <c r="L49" s="10">
        <v>0</v>
      </c>
      <c r="M49" s="10">
        <v>0</v>
      </c>
      <c r="N49" s="10">
        <v>0</v>
      </c>
      <c r="O49" s="10">
        <f t="shared" si="4"/>
        <v>0</v>
      </c>
      <c r="P49" s="10"/>
      <c r="Q49" s="10">
        <f t="shared" si="5"/>
        <v>0</v>
      </c>
      <c r="R49" s="10"/>
      <c r="S49" s="10">
        <f t="shared" si="6"/>
        <v>0</v>
      </c>
    </row>
    <row r="50" spans="1:19" ht="15" customHeight="1">
      <c r="A50" s="23">
        <v>36</v>
      </c>
      <c r="B50" s="9" t="s">
        <v>721</v>
      </c>
      <c r="C50" s="10">
        <f>+'IS-PBC'!B182</f>
        <v>0</v>
      </c>
      <c r="D50" s="10">
        <f>+'IS-PBC'!C182</f>
        <v>0</v>
      </c>
      <c r="E50" s="10">
        <f>+'IS-PBC'!D182</f>
        <v>6454.56</v>
      </c>
      <c r="F50" s="10">
        <f>+'IS-PBC'!E182</f>
        <v>0</v>
      </c>
      <c r="G50" s="10">
        <f>+'IS-PBC'!F182</f>
        <v>5336</v>
      </c>
      <c r="H50" s="10">
        <f>+'IS-PBC'!G182</f>
        <v>3726.92</v>
      </c>
      <c r="I50" s="10">
        <f>+'IS-PBC'!H182</f>
        <v>6667.25</v>
      </c>
      <c r="J50" s="10">
        <f>+'IS-PBC'!I182</f>
        <v>0</v>
      </c>
      <c r="K50" s="10">
        <f>+'IS-PBC'!J182</f>
        <v>16245.03</v>
      </c>
      <c r="L50" s="10">
        <f>+'IS-PBC'!K182</f>
        <v>0</v>
      </c>
      <c r="M50" s="10">
        <f>+'IS-PBC'!L182</f>
        <v>0</v>
      </c>
      <c r="N50" s="10">
        <f>+'IS-PBC'!M182</f>
        <v>-18010.77</v>
      </c>
      <c r="O50" s="10">
        <f t="shared" si="4"/>
        <v>20418.990000000002</v>
      </c>
      <c r="P50" s="10"/>
      <c r="Q50" s="10">
        <f t="shared" si="5"/>
        <v>20418.990000000002</v>
      </c>
      <c r="R50" s="10"/>
      <c r="S50" s="10">
        <f t="shared" si="6"/>
        <v>20418.990000000002</v>
      </c>
    </row>
    <row r="51" spans="1:19" ht="15" customHeight="1">
      <c r="A51" s="23">
        <v>37</v>
      </c>
      <c r="B51" s="9" t="s">
        <v>710</v>
      </c>
      <c r="C51" s="10">
        <f>+'IS-PBC'!B143+'IS-PBC'!B144</f>
        <v>0</v>
      </c>
      <c r="D51" s="10">
        <f>+'IS-PBC'!C143+'IS-PBC'!C144</f>
        <v>0</v>
      </c>
      <c r="E51" s="10">
        <f>+'IS-PBC'!D143+'IS-PBC'!D144</f>
        <v>44061.45</v>
      </c>
      <c r="F51" s="10">
        <f>+'IS-PBC'!E143+'IS-PBC'!E144</f>
        <v>141.6</v>
      </c>
      <c r="G51" s="10">
        <f>+'IS-PBC'!F143+'IS-PBC'!F144</f>
        <v>0</v>
      </c>
      <c r="H51" s="10">
        <f>+'IS-PBC'!G143+'IS-PBC'!G144</f>
        <v>0</v>
      </c>
      <c r="I51" s="10">
        <f>+'IS-PBC'!H143+'IS-PBC'!H144</f>
        <v>0</v>
      </c>
      <c r="J51" s="10">
        <f>+'IS-PBC'!I143+'IS-PBC'!I144</f>
        <v>0</v>
      </c>
      <c r="K51" s="10">
        <f>+'IS-PBC'!J143+'IS-PBC'!J144</f>
        <v>0</v>
      </c>
      <c r="L51" s="10">
        <f>+'IS-PBC'!K143+'IS-PBC'!K144</f>
        <v>0</v>
      </c>
      <c r="M51" s="10">
        <f>+'IS-PBC'!L143+'IS-PBC'!L144</f>
        <v>-134.26</v>
      </c>
      <c r="N51" s="10">
        <f>+'IS-PBC'!M143+'IS-PBC'!M144</f>
        <v>0</v>
      </c>
      <c r="O51" s="10">
        <f t="shared" si="4"/>
        <v>44068.789999999994</v>
      </c>
      <c r="P51" s="10"/>
      <c r="Q51" s="10">
        <f t="shared" si="5"/>
        <v>44068.789999999994</v>
      </c>
      <c r="R51" s="10"/>
      <c r="S51" s="10">
        <f t="shared" si="6"/>
        <v>44068.789999999994</v>
      </c>
    </row>
    <row r="52" spans="1:19" ht="15" customHeight="1">
      <c r="A52" s="23">
        <v>38</v>
      </c>
      <c r="B52" s="9" t="s">
        <v>724</v>
      </c>
      <c r="C52" s="10">
        <v>0</v>
      </c>
      <c r="D52" s="10">
        <v>0</v>
      </c>
      <c r="E52" s="10">
        <v>0</v>
      </c>
      <c r="F52" s="10">
        <v>0</v>
      </c>
      <c r="G52" s="10">
        <v>0</v>
      </c>
      <c r="H52" s="10">
        <v>0</v>
      </c>
      <c r="I52" s="10">
        <v>0</v>
      </c>
      <c r="J52" s="10">
        <v>0</v>
      </c>
      <c r="K52" s="10">
        <v>0</v>
      </c>
      <c r="L52" s="10">
        <v>0</v>
      </c>
      <c r="M52" s="10">
        <v>0</v>
      </c>
      <c r="N52" s="10">
        <v>0</v>
      </c>
      <c r="O52" s="10">
        <f t="shared" si="4"/>
        <v>0</v>
      </c>
      <c r="P52" s="10"/>
      <c r="Q52" s="10">
        <f t="shared" si="5"/>
        <v>0</v>
      </c>
      <c r="R52" s="10"/>
      <c r="S52" s="10">
        <f t="shared" si="6"/>
        <v>0</v>
      </c>
    </row>
    <row r="53" spans="1:19" ht="15" customHeight="1">
      <c r="A53" s="23">
        <v>39</v>
      </c>
      <c r="B53" s="9" t="s">
        <v>715</v>
      </c>
      <c r="C53" s="10">
        <f>+'IS-PBC'!B193+'IS-PBC'!B194+'IS-PBC'!B195</f>
        <v>7516.3600000000006</v>
      </c>
      <c r="D53" s="10">
        <f>+'IS-PBC'!C193+'IS-PBC'!C194+'IS-PBC'!C195</f>
        <v>6120.2100000000009</v>
      </c>
      <c r="E53" s="10">
        <f>+'IS-PBC'!D193+'IS-PBC'!D194+'IS-PBC'!D195</f>
        <v>6702.34</v>
      </c>
      <c r="F53" s="10">
        <f>+'IS-PBC'!E193+'IS-PBC'!E194+'IS-PBC'!E195</f>
        <v>5142.9500000000007</v>
      </c>
      <c r="G53" s="10">
        <f>+'IS-PBC'!F193+'IS-PBC'!F194+'IS-PBC'!F195</f>
        <v>6250.68</v>
      </c>
      <c r="H53" s="10">
        <f>+'IS-PBC'!G193+'IS-PBC'!G194+'IS-PBC'!G195</f>
        <v>4337.5200000000004</v>
      </c>
      <c r="I53" s="10">
        <f>+'IS-PBC'!H193+'IS-PBC'!H194+'IS-PBC'!H195</f>
        <v>4909.3600000000006</v>
      </c>
      <c r="J53" s="10">
        <f>+'IS-PBC'!I193+'IS-PBC'!I194+'IS-PBC'!I195</f>
        <v>4201.92</v>
      </c>
      <c r="K53" s="10">
        <f>+'IS-PBC'!J193+'IS-PBC'!J194+'IS-PBC'!J195</f>
        <v>4680.38</v>
      </c>
      <c r="L53" s="10">
        <f>+'IS-PBC'!K193+'IS-PBC'!K194+'IS-PBC'!K195</f>
        <v>4282.1900000000005</v>
      </c>
      <c r="M53" s="10">
        <f>+'IS-PBC'!L193+'IS-PBC'!L194+'IS-PBC'!L195</f>
        <v>5445.4400000000005</v>
      </c>
      <c r="N53" s="10">
        <f>+'IS-PBC'!M193+'IS-PBC'!M194+'IS-PBC'!M195</f>
        <v>5657.34</v>
      </c>
      <c r="O53" s="10">
        <f t="shared" si="4"/>
        <v>65246.69</v>
      </c>
      <c r="P53" s="10"/>
      <c r="Q53" s="10">
        <f t="shared" si="5"/>
        <v>65246.69</v>
      </c>
      <c r="R53" s="10"/>
      <c r="S53" s="10">
        <f t="shared" si="6"/>
        <v>65246.69</v>
      </c>
    </row>
    <row r="54" spans="1:19" ht="15" customHeight="1">
      <c r="A54" s="23">
        <v>40</v>
      </c>
      <c r="B54" s="9" t="s">
        <v>350</v>
      </c>
      <c r="C54" s="10">
        <f>+'IS-PBC'!B198</f>
        <v>7286.8</v>
      </c>
      <c r="D54" s="10">
        <f>+'IS-PBC'!C198</f>
        <v>20865.52</v>
      </c>
      <c r="E54" s="10">
        <f>+'IS-PBC'!D198</f>
        <v>1650</v>
      </c>
      <c r="F54" s="10">
        <f>+'IS-PBC'!E198</f>
        <v>14491.6</v>
      </c>
      <c r="G54" s="10">
        <f>+'IS-PBC'!F198</f>
        <v>195.5</v>
      </c>
      <c r="H54" s="10">
        <f>+'IS-PBC'!G198</f>
        <v>122</v>
      </c>
      <c r="I54" s="10">
        <f>+'IS-PBC'!H198</f>
        <v>522</v>
      </c>
      <c r="J54" s="10">
        <f>+'IS-PBC'!I198</f>
        <v>7414.17</v>
      </c>
      <c r="K54" s="10">
        <f>+'IS-PBC'!J198</f>
        <v>0</v>
      </c>
      <c r="L54" s="10">
        <f>+'IS-PBC'!K198</f>
        <v>1962.5</v>
      </c>
      <c r="M54" s="10">
        <f>+'IS-PBC'!L198</f>
        <v>2331.9</v>
      </c>
      <c r="N54" s="10">
        <f>+'IS-PBC'!M198</f>
        <v>0</v>
      </c>
      <c r="O54" s="10">
        <f t="shared" si="4"/>
        <v>56841.99</v>
      </c>
      <c r="P54" s="10"/>
      <c r="Q54" s="10">
        <f t="shared" si="5"/>
        <v>56841.99</v>
      </c>
      <c r="R54" s="10"/>
      <c r="S54" s="10">
        <f t="shared" si="6"/>
        <v>56841.99</v>
      </c>
    </row>
    <row r="55" spans="1:19" ht="15" customHeight="1">
      <c r="A55" s="23">
        <v>41</v>
      </c>
      <c r="B55" s="9" t="s">
        <v>730</v>
      </c>
      <c r="C55" s="10">
        <f>+'IS-PBC'!B208</f>
        <v>0</v>
      </c>
      <c r="D55" s="10">
        <f>+'IS-PBC'!C208</f>
        <v>0</v>
      </c>
      <c r="E55" s="10">
        <f>+'IS-PBC'!D208</f>
        <v>0</v>
      </c>
      <c r="F55" s="10">
        <f>+'IS-PBC'!E208</f>
        <v>0</v>
      </c>
      <c r="G55" s="10">
        <f>+'IS-PBC'!F208</f>
        <v>32516.27</v>
      </c>
      <c r="H55" s="10">
        <f>+'IS-PBC'!G208</f>
        <v>0</v>
      </c>
      <c r="I55" s="10">
        <f>+'IS-PBC'!H208</f>
        <v>0</v>
      </c>
      <c r="J55" s="10">
        <f>+'IS-PBC'!I208</f>
        <v>0</v>
      </c>
      <c r="K55" s="10">
        <f>+'IS-PBC'!J208</f>
        <v>0</v>
      </c>
      <c r="L55" s="10">
        <f>+'IS-PBC'!K208</f>
        <v>0</v>
      </c>
      <c r="M55" s="10">
        <f>+'IS-PBC'!L208</f>
        <v>0</v>
      </c>
      <c r="N55" s="10">
        <f>+'IS-PBC'!M208</f>
        <v>0</v>
      </c>
      <c r="O55" s="10">
        <f t="shared" si="4"/>
        <v>32516.27</v>
      </c>
      <c r="P55" s="10"/>
      <c r="Q55" s="10">
        <f t="shared" si="5"/>
        <v>32516.27</v>
      </c>
      <c r="R55" s="10"/>
      <c r="S55" s="10">
        <f t="shared" si="6"/>
        <v>32516.27</v>
      </c>
    </row>
    <row r="56" spans="1:19" ht="15" customHeight="1">
      <c r="A56" s="23">
        <v>42</v>
      </c>
      <c r="B56" s="9" t="s">
        <v>704</v>
      </c>
      <c r="C56" s="10">
        <f>+'IS-PBC'!B110+'IS-PBC'!B111+'IS-PBC'!B112+'IS-PBC'!B113+'IS-PBC'!B115+'IS-PBC'!B116</f>
        <v>42716.009999999995</v>
      </c>
      <c r="D56" s="10">
        <f>+'IS-PBC'!C110+'IS-PBC'!C111+'IS-PBC'!C112+'IS-PBC'!C113+'IS-PBC'!C115+'IS-PBC'!C116</f>
        <v>55618.39</v>
      </c>
      <c r="E56" s="10">
        <f>+'IS-PBC'!D110+'IS-PBC'!D111+'IS-PBC'!D112+'IS-PBC'!D113+'IS-PBC'!D115+'IS-PBC'!D116</f>
        <v>30555.56</v>
      </c>
      <c r="F56" s="10">
        <f>+'IS-PBC'!E110+'IS-PBC'!E111+'IS-PBC'!E112+'IS-PBC'!E113+'IS-PBC'!E115+'IS-PBC'!E116</f>
        <v>37298.83</v>
      </c>
      <c r="G56" s="10">
        <f>+'IS-PBC'!F110+'IS-PBC'!F111+'IS-PBC'!F112+'IS-PBC'!F113+'IS-PBC'!F115+'IS-PBC'!F116</f>
        <v>52478.53</v>
      </c>
      <c r="H56" s="10">
        <f>+'IS-PBC'!G110+'IS-PBC'!G111+'IS-PBC'!G112+'IS-PBC'!G113+'IS-PBC'!G115+'IS-PBC'!G116</f>
        <v>75118.28</v>
      </c>
      <c r="I56" s="10">
        <f>+'IS-PBC'!H110+'IS-PBC'!H111+'IS-PBC'!H112+'IS-PBC'!H113+'IS-PBC'!H115+'IS-PBC'!H116</f>
        <v>38112.17</v>
      </c>
      <c r="J56" s="10">
        <f>+'IS-PBC'!I110+'IS-PBC'!I111+'IS-PBC'!I112+'IS-PBC'!I113+'IS-PBC'!I115+'IS-PBC'!I116</f>
        <v>55159.27</v>
      </c>
      <c r="K56" s="10">
        <f>+'IS-PBC'!J110+'IS-PBC'!J111+'IS-PBC'!J112+'IS-PBC'!J113+'IS-PBC'!J115+'IS-PBC'!J116</f>
        <v>36831.22</v>
      </c>
      <c r="L56" s="10">
        <f>+'IS-PBC'!K110+'IS-PBC'!K111+'IS-PBC'!K112+'IS-PBC'!K113+'IS-PBC'!K115+'IS-PBC'!K116</f>
        <v>70548.51999999999</v>
      </c>
      <c r="M56" s="10">
        <f>+'IS-PBC'!L110+'IS-PBC'!L111+'IS-PBC'!L112+'IS-PBC'!L113+'IS-PBC'!L115+'IS-PBC'!L116</f>
        <v>55004.650000000009</v>
      </c>
      <c r="N56" s="10">
        <f>+'IS-PBC'!M110+'IS-PBC'!M111+'IS-PBC'!M112+'IS-PBC'!M113+'IS-PBC'!M115+'IS-PBC'!M116</f>
        <v>-99565.539999999979</v>
      </c>
      <c r="O56" s="10">
        <f t="shared" si="4"/>
        <v>449875.89000000007</v>
      </c>
      <c r="P56" s="10"/>
      <c r="Q56" s="10">
        <f t="shared" si="5"/>
        <v>449875.89000000007</v>
      </c>
      <c r="R56" s="10"/>
      <c r="S56" s="10">
        <f t="shared" si="6"/>
        <v>449875.89000000007</v>
      </c>
    </row>
    <row r="57" spans="1:19" ht="15" customHeight="1">
      <c r="A57" s="23">
        <v>43</v>
      </c>
      <c r="B57" s="9" t="s">
        <v>703</v>
      </c>
      <c r="C57" s="10">
        <f>+'IS-PBC'!B108+'IS-PBC'!B117</f>
        <v>102</v>
      </c>
      <c r="D57" s="10">
        <f>+'IS-PBC'!C108+'IS-PBC'!C117</f>
        <v>18355.34</v>
      </c>
      <c r="E57" s="10">
        <f>+'IS-PBC'!D108+'IS-PBC'!D117</f>
        <v>102</v>
      </c>
      <c r="F57" s="10">
        <f>+'IS-PBC'!E108+'IS-PBC'!E117</f>
        <v>13415.23</v>
      </c>
      <c r="G57" s="10">
        <f>+'IS-PBC'!F108+'IS-PBC'!F117</f>
        <v>10889.800000000001</v>
      </c>
      <c r="H57" s="10">
        <f>+'IS-PBC'!G108+'IS-PBC'!G117</f>
        <v>4847.0300000000007</v>
      </c>
      <c r="I57" s="10">
        <f>+'IS-PBC'!H108+'IS-PBC'!H117</f>
        <v>13346.34</v>
      </c>
      <c r="J57" s="10">
        <f>+'IS-PBC'!I108+'IS-PBC'!I117</f>
        <v>0</v>
      </c>
      <c r="K57" s="10">
        <f>+'IS-PBC'!J108+'IS-PBC'!J117</f>
        <v>156.69999999999999</v>
      </c>
      <c r="L57" s="10">
        <f>+'IS-PBC'!K108+'IS-PBC'!K117</f>
        <v>102</v>
      </c>
      <c r="M57" s="10">
        <f>+'IS-PBC'!L108+'IS-PBC'!L117</f>
        <v>496.1</v>
      </c>
      <c r="N57" s="10">
        <f>+'IS-PBC'!M108+'IS-PBC'!M117</f>
        <v>-10319.700000000001</v>
      </c>
      <c r="O57" s="10">
        <f t="shared" si="4"/>
        <v>51492.84</v>
      </c>
      <c r="P57" s="10"/>
      <c r="Q57" s="10">
        <f t="shared" si="5"/>
        <v>51492.84</v>
      </c>
      <c r="R57" s="10"/>
      <c r="S57" s="10">
        <f t="shared" si="6"/>
        <v>51492.84</v>
      </c>
    </row>
    <row r="58" spans="1:19" ht="15" customHeight="1">
      <c r="A58" s="23">
        <v>44</v>
      </c>
      <c r="B58" s="9" t="s">
        <v>352</v>
      </c>
      <c r="C58" s="10">
        <f>+'IS-PBC'!B140</f>
        <v>0</v>
      </c>
      <c r="D58" s="10">
        <f>+'IS-PBC'!C140</f>
        <v>1000</v>
      </c>
      <c r="E58" s="10">
        <f>+'IS-PBC'!D140</f>
        <v>500</v>
      </c>
      <c r="F58" s="10">
        <f>+'IS-PBC'!E140</f>
        <v>0</v>
      </c>
      <c r="G58" s="10">
        <f>+'IS-PBC'!F140</f>
        <v>1000</v>
      </c>
      <c r="H58" s="10">
        <f>+'IS-PBC'!G140</f>
        <v>500</v>
      </c>
      <c r="I58" s="10">
        <f>+'IS-PBC'!H140</f>
        <v>1000</v>
      </c>
      <c r="J58" s="10">
        <f>+'IS-PBC'!I140</f>
        <v>0</v>
      </c>
      <c r="K58" s="10">
        <f>+'IS-PBC'!J140</f>
        <v>500</v>
      </c>
      <c r="L58" s="10">
        <f>+'IS-PBC'!K140</f>
        <v>500</v>
      </c>
      <c r="M58" s="10">
        <f>+'IS-PBC'!L140</f>
        <v>1000</v>
      </c>
      <c r="N58" s="10">
        <f>+'IS-PBC'!M140</f>
        <v>0</v>
      </c>
      <c r="O58" s="10">
        <f t="shared" si="4"/>
        <v>6000</v>
      </c>
      <c r="P58" s="10"/>
      <c r="Q58" s="10">
        <f t="shared" si="5"/>
        <v>6000</v>
      </c>
      <c r="R58" s="10"/>
      <c r="S58" s="10">
        <f t="shared" si="6"/>
        <v>6000</v>
      </c>
    </row>
    <row r="59" spans="1:19" ht="15" customHeight="1">
      <c r="A59" s="23">
        <v>45</v>
      </c>
      <c r="B59" s="9" t="s">
        <v>713</v>
      </c>
      <c r="C59" s="10">
        <f>'IS-PBC'!B211</f>
        <v>0</v>
      </c>
      <c r="D59" s="10">
        <f>'IS-PBC'!C211</f>
        <v>0</v>
      </c>
      <c r="E59" s="10">
        <f>'IS-PBC'!D211</f>
        <v>0</v>
      </c>
      <c r="F59" s="10">
        <f>'IS-PBC'!E211</f>
        <v>0</v>
      </c>
      <c r="G59" s="10">
        <f>'IS-PBC'!F211</f>
        <v>0</v>
      </c>
      <c r="H59" s="10">
        <f>'IS-PBC'!G211</f>
        <v>0</v>
      </c>
      <c r="I59" s="10">
        <f>'IS-PBC'!H211</f>
        <v>0</v>
      </c>
      <c r="J59" s="10">
        <f>'IS-PBC'!I211</f>
        <v>0</v>
      </c>
      <c r="K59" s="10">
        <f>'IS-PBC'!J211</f>
        <v>0</v>
      </c>
      <c r="L59" s="10">
        <f>'IS-PBC'!K211</f>
        <v>0</v>
      </c>
      <c r="M59" s="10">
        <f>'IS-PBC'!L211</f>
        <v>0</v>
      </c>
      <c r="N59" s="10">
        <f>'IS-PBC'!M211</f>
        <v>205712.58</v>
      </c>
      <c r="O59" s="10">
        <f t="shared" si="4"/>
        <v>205712.58</v>
      </c>
      <c r="P59" s="10"/>
      <c r="Q59" s="10">
        <f t="shared" si="5"/>
        <v>205712.58</v>
      </c>
      <c r="R59" s="10"/>
      <c r="S59" s="10">
        <f t="shared" si="6"/>
        <v>205712.58</v>
      </c>
    </row>
    <row r="60" spans="1:19" ht="15" customHeight="1">
      <c r="A60" s="23">
        <v>46</v>
      </c>
      <c r="B60" s="9" t="s">
        <v>707</v>
      </c>
      <c r="C60" s="10">
        <f>+'IS-PBC'!B114</f>
        <v>14433.96</v>
      </c>
      <c r="D60" s="10">
        <f>+'IS-PBC'!C114</f>
        <v>9517.5300000000007</v>
      </c>
      <c r="E60" s="10">
        <f>+'IS-PBC'!D114</f>
        <v>26660.23</v>
      </c>
      <c r="F60" s="10">
        <f>+'IS-PBC'!E114</f>
        <v>15636.37</v>
      </c>
      <c r="G60" s="10">
        <f>+'IS-PBC'!F114</f>
        <v>23292.33</v>
      </c>
      <c r="H60" s="10">
        <f>+'IS-PBC'!G114</f>
        <v>18692.12</v>
      </c>
      <c r="I60" s="10">
        <f>+'IS-PBC'!H114</f>
        <v>26743.96</v>
      </c>
      <c r="J60" s="10">
        <f>+'IS-PBC'!I114</f>
        <v>32952.49</v>
      </c>
      <c r="K60" s="10">
        <f>+'IS-PBC'!J114</f>
        <v>29396.55</v>
      </c>
      <c r="L60" s="10">
        <f>+'IS-PBC'!K114</f>
        <v>19594.330000000002</v>
      </c>
      <c r="M60" s="10">
        <f>+'IS-PBC'!L114</f>
        <v>17081</v>
      </c>
      <c r="N60" s="10">
        <f>+'IS-PBC'!M114</f>
        <v>25701.39</v>
      </c>
      <c r="O60" s="10">
        <f t="shared" si="4"/>
        <v>259702.26</v>
      </c>
      <c r="P60" s="10"/>
      <c r="Q60" s="10">
        <f t="shared" si="5"/>
        <v>259702.26</v>
      </c>
      <c r="R60" s="10"/>
      <c r="S60" s="10">
        <f t="shared" si="6"/>
        <v>259702.26</v>
      </c>
    </row>
    <row r="61" spans="1:19" ht="15" customHeight="1">
      <c r="A61" s="23">
        <v>47</v>
      </c>
      <c r="B61" s="9" t="s">
        <v>725</v>
      </c>
      <c r="C61" s="10">
        <f>+'IS-PBC'!B165+'IS-PBC'!B166+'IS-PBC'!B186</f>
        <v>0</v>
      </c>
      <c r="D61" s="10">
        <f>+'IS-PBC'!C165+'IS-PBC'!C166+'IS-PBC'!C186</f>
        <v>216.69</v>
      </c>
      <c r="E61" s="10">
        <f>+'IS-PBC'!D165+'IS-PBC'!D166+'IS-PBC'!D186</f>
        <v>0</v>
      </c>
      <c r="F61" s="10">
        <f>+'IS-PBC'!E165+'IS-PBC'!E166+'IS-PBC'!E186</f>
        <v>0</v>
      </c>
      <c r="G61" s="10">
        <f>+'IS-PBC'!F165+'IS-PBC'!F166+'IS-PBC'!F186</f>
        <v>0</v>
      </c>
      <c r="H61" s="10">
        <f>+'IS-PBC'!G165+'IS-PBC'!G166+'IS-PBC'!G186</f>
        <v>0</v>
      </c>
      <c r="I61" s="10">
        <f>+'IS-PBC'!H165+'IS-PBC'!H166+'IS-PBC'!H186</f>
        <v>-48.18</v>
      </c>
      <c r="J61" s="10">
        <f>+'IS-PBC'!I165+'IS-PBC'!I166+'IS-PBC'!I186</f>
        <v>0</v>
      </c>
      <c r="K61" s="10">
        <f>+'IS-PBC'!J165+'IS-PBC'!J166+'IS-PBC'!J186</f>
        <v>0</v>
      </c>
      <c r="L61" s="10">
        <f>+'IS-PBC'!K165+'IS-PBC'!K166+'IS-PBC'!K186</f>
        <v>0</v>
      </c>
      <c r="M61" s="10">
        <f>+'IS-PBC'!L165+'IS-PBC'!L166+'IS-PBC'!L186</f>
        <v>0</v>
      </c>
      <c r="N61" s="10">
        <f>+'IS-PBC'!M165+'IS-PBC'!M166+'IS-PBC'!M186</f>
        <v>2</v>
      </c>
      <c r="O61" s="10">
        <f t="shared" si="4"/>
        <v>170.51</v>
      </c>
      <c r="P61" s="10"/>
      <c r="Q61" s="10">
        <f t="shared" si="5"/>
        <v>170.51</v>
      </c>
      <c r="R61" s="10"/>
      <c r="S61" s="10">
        <f t="shared" si="6"/>
        <v>170.51</v>
      </c>
    </row>
    <row r="62" spans="1:19" ht="15" customHeight="1">
      <c r="A62" s="23">
        <v>48</v>
      </c>
      <c r="B62" s="9" t="s">
        <v>717</v>
      </c>
      <c r="C62" s="10">
        <f>+'IS-PBC'!B199</f>
        <v>2805.01</v>
      </c>
      <c r="D62" s="10">
        <f>+'IS-PBC'!C199</f>
        <v>230</v>
      </c>
      <c r="E62" s="10">
        <f>+'IS-PBC'!D199</f>
        <v>0</v>
      </c>
      <c r="F62" s="10">
        <f>+'IS-PBC'!E199</f>
        <v>0</v>
      </c>
      <c r="G62" s="10">
        <f>+'IS-PBC'!F199</f>
        <v>1490.05</v>
      </c>
      <c r="H62" s="10">
        <f>+'IS-PBC'!G199</f>
        <v>1145</v>
      </c>
      <c r="I62" s="10">
        <f>+'IS-PBC'!H199</f>
        <v>1685.17</v>
      </c>
      <c r="J62" s="10">
        <f>+'IS-PBC'!I199</f>
        <v>72</v>
      </c>
      <c r="K62" s="10">
        <f>+'IS-PBC'!J199</f>
        <v>652</v>
      </c>
      <c r="L62" s="10">
        <f>+'IS-PBC'!K199</f>
        <v>1320.07</v>
      </c>
      <c r="M62" s="10">
        <f>+'IS-PBC'!L199</f>
        <v>0</v>
      </c>
      <c r="N62" s="10">
        <f>+'IS-PBC'!M199</f>
        <v>1010</v>
      </c>
      <c r="O62" s="10">
        <f t="shared" si="4"/>
        <v>10409.300000000001</v>
      </c>
      <c r="P62" s="10"/>
      <c r="Q62" s="10">
        <f t="shared" si="5"/>
        <v>10409.300000000001</v>
      </c>
      <c r="R62" s="10"/>
      <c r="S62" s="10">
        <f t="shared" si="6"/>
        <v>10409.300000000001</v>
      </c>
    </row>
    <row r="63" spans="1:19" ht="15" customHeight="1">
      <c r="A63" s="23">
        <v>49</v>
      </c>
      <c r="B63" s="9" t="s">
        <v>731</v>
      </c>
      <c r="C63" s="10">
        <f>'IS-PBC'!B214</f>
        <v>0</v>
      </c>
      <c r="D63" s="10">
        <f>'IS-PBC'!C214</f>
        <v>0</v>
      </c>
      <c r="E63" s="10">
        <f>'IS-PBC'!D214</f>
        <v>0</v>
      </c>
      <c r="F63" s="10">
        <f>'IS-PBC'!E214</f>
        <v>0</v>
      </c>
      <c r="G63" s="10">
        <f>'IS-PBC'!F214</f>
        <v>0</v>
      </c>
      <c r="H63" s="10">
        <f>'IS-PBC'!G214</f>
        <v>0</v>
      </c>
      <c r="I63" s="10">
        <f>'IS-PBC'!H214</f>
        <v>0</v>
      </c>
      <c r="J63" s="10">
        <f>'IS-PBC'!I214</f>
        <v>0</v>
      </c>
      <c r="K63" s="10">
        <f>'IS-PBC'!J214</f>
        <v>0</v>
      </c>
      <c r="L63" s="10">
        <f>'IS-PBC'!K214</f>
        <v>0</v>
      </c>
      <c r="M63" s="10">
        <f>'IS-PBC'!L214</f>
        <v>0</v>
      </c>
      <c r="N63" s="10">
        <f>'IS-PBC'!M214</f>
        <v>53535.37</v>
      </c>
      <c r="O63" s="10">
        <f t="shared" si="4"/>
        <v>53535.37</v>
      </c>
      <c r="P63" s="10"/>
      <c r="Q63" s="10">
        <f t="shared" si="5"/>
        <v>53535.37</v>
      </c>
      <c r="R63" s="10"/>
      <c r="S63" s="10">
        <f t="shared" si="6"/>
        <v>53535.37</v>
      </c>
    </row>
    <row r="64" spans="1:19" ht="15" customHeight="1">
      <c r="A64" s="23">
        <v>50</v>
      </c>
      <c r="B64" s="9" t="s">
        <v>712</v>
      </c>
      <c r="C64" s="10">
        <f>'IS-PBC'!B213</f>
        <v>0</v>
      </c>
      <c r="D64" s="10">
        <f>'IS-PBC'!C213</f>
        <v>0</v>
      </c>
      <c r="E64" s="10">
        <f>'IS-PBC'!D213</f>
        <v>0</v>
      </c>
      <c r="F64" s="10">
        <f>'IS-PBC'!E213</f>
        <v>0</v>
      </c>
      <c r="G64" s="10">
        <f>'IS-PBC'!F213</f>
        <v>0</v>
      </c>
      <c r="H64" s="10">
        <f>'IS-PBC'!G213</f>
        <v>0</v>
      </c>
      <c r="I64" s="10">
        <f>'IS-PBC'!H213</f>
        <v>0</v>
      </c>
      <c r="J64" s="10">
        <f>'IS-PBC'!I213</f>
        <v>0</v>
      </c>
      <c r="K64" s="10">
        <f>'IS-PBC'!J213</f>
        <v>0</v>
      </c>
      <c r="L64" s="10">
        <f>'IS-PBC'!K213</f>
        <v>0</v>
      </c>
      <c r="M64" s="10">
        <f>'IS-PBC'!L213</f>
        <v>0</v>
      </c>
      <c r="N64" s="10">
        <f>'IS-PBC'!M213</f>
        <v>8936.41</v>
      </c>
      <c r="O64" s="10">
        <f t="shared" si="4"/>
        <v>8936.41</v>
      </c>
      <c r="P64" s="10"/>
      <c r="Q64" s="10">
        <f t="shared" si="5"/>
        <v>8936.41</v>
      </c>
      <c r="R64" s="10"/>
      <c r="S64" s="10">
        <f t="shared" si="6"/>
        <v>8936.41</v>
      </c>
    </row>
    <row r="65" spans="1:27" ht="15" customHeight="1">
      <c r="A65" s="23">
        <v>51</v>
      </c>
      <c r="B65" s="9" t="s">
        <v>728</v>
      </c>
      <c r="C65" s="10">
        <f>+'IS-PBC'!B212</f>
        <v>0</v>
      </c>
      <c r="D65" s="10">
        <f>+'IS-PBC'!C212</f>
        <v>0</v>
      </c>
      <c r="E65" s="10">
        <f>+'IS-PBC'!D212</f>
        <v>0</v>
      </c>
      <c r="F65" s="10">
        <f>+'IS-PBC'!E212</f>
        <v>0</v>
      </c>
      <c r="G65" s="10">
        <f>+'IS-PBC'!F212</f>
        <v>-0.3</v>
      </c>
      <c r="H65" s="10">
        <f>+'IS-PBC'!G212</f>
        <v>0</v>
      </c>
      <c r="I65" s="10">
        <f>+'IS-PBC'!H212</f>
        <v>0</v>
      </c>
      <c r="J65" s="10">
        <f>+'IS-PBC'!I212</f>
        <v>0</v>
      </c>
      <c r="K65" s="10">
        <f>+'IS-PBC'!J212</f>
        <v>-0.5</v>
      </c>
      <c r="L65" s="10">
        <f>+'IS-PBC'!K212</f>
        <v>0</v>
      </c>
      <c r="M65" s="10">
        <f>+'IS-PBC'!L212</f>
        <v>0</v>
      </c>
      <c r="N65" s="10">
        <f>+'IS-PBC'!M212</f>
        <v>0.03</v>
      </c>
      <c r="O65" s="10">
        <f t="shared" si="4"/>
        <v>-0.77</v>
      </c>
      <c r="P65" s="10"/>
      <c r="Q65" s="10">
        <f t="shared" si="5"/>
        <v>-0.77</v>
      </c>
      <c r="R65" s="10"/>
      <c r="S65" s="10">
        <f t="shared" si="6"/>
        <v>-0.77</v>
      </c>
    </row>
    <row r="66" spans="1:27" ht="15" customHeight="1">
      <c r="A66" s="23">
        <v>52</v>
      </c>
      <c r="B66" s="9" t="s">
        <v>30</v>
      </c>
      <c r="C66" s="10">
        <f>'IS-PBC'!B123</f>
        <v>0</v>
      </c>
      <c r="D66" s="10">
        <f>'IS-PBC'!C123</f>
        <v>0</v>
      </c>
      <c r="E66" s="10">
        <f>'IS-PBC'!D123</f>
        <v>0</v>
      </c>
      <c r="F66" s="10">
        <f>'IS-PBC'!E123</f>
        <v>0</v>
      </c>
      <c r="G66" s="10">
        <f>'IS-PBC'!F123</f>
        <v>0</v>
      </c>
      <c r="H66" s="10">
        <f>'IS-PBC'!G123</f>
        <v>0</v>
      </c>
      <c r="I66" s="10">
        <f>'IS-PBC'!H123</f>
        <v>0</v>
      </c>
      <c r="J66" s="10">
        <f>'IS-PBC'!I123</f>
        <v>0</v>
      </c>
      <c r="K66" s="10">
        <f>'IS-PBC'!J123</f>
        <v>0</v>
      </c>
      <c r="L66" s="10">
        <f>'IS-PBC'!K123</f>
        <v>0</v>
      </c>
      <c r="M66" s="10">
        <f>'IS-PBC'!L123</f>
        <v>0</v>
      </c>
      <c r="N66" s="10">
        <f>'IS-PBC'!M123</f>
        <v>880.98</v>
      </c>
      <c r="O66" s="10">
        <f t="shared" si="4"/>
        <v>880.98</v>
      </c>
      <c r="P66" s="10"/>
      <c r="Q66" s="10">
        <f t="shared" si="5"/>
        <v>880.98</v>
      </c>
      <c r="R66" s="10"/>
      <c r="S66" s="10">
        <f t="shared" si="6"/>
        <v>880.98</v>
      </c>
    </row>
    <row r="67" spans="1:27" ht="15" customHeight="1">
      <c r="A67" s="23">
        <v>53</v>
      </c>
      <c r="B67" s="9" t="s">
        <v>93</v>
      </c>
      <c r="C67" s="10">
        <f>+'IS-PBC'!B187</f>
        <v>21717.73</v>
      </c>
      <c r="D67" s="10">
        <f>+'IS-PBC'!C187</f>
        <v>16275.75</v>
      </c>
      <c r="E67" s="10">
        <f>+'IS-PBC'!D187</f>
        <v>16414.62</v>
      </c>
      <c r="F67" s="10">
        <f>+'IS-PBC'!E187</f>
        <v>5224.3500000000004</v>
      </c>
      <c r="G67" s="10">
        <f>+'IS-PBC'!F187</f>
        <v>27734</v>
      </c>
      <c r="H67" s="10">
        <f>+'IS-PBC'!G187</f>
        <v>16424.75</v>
      </c>
      <c r="I67" s="10">
        <f>+'IS-PBC'!H187</f>
        <v>16186.17</v>
      </c>
      <c r="J67" s="10">
        <f>+'IS-PBC'!I187</f>
        <v>15730.54</v>
      </c>
      <c r="K67" s="10">
        <f>+'IS-PBC'!J187</f>
        <v>4401.01</v>
      </c>
      <c r="L67" s="10">
        <f>+'IS-PBC'!K187</f>
        <v>24953.5</v>
      </c>
      <c r="M67" s="10">
        <f>+'IS-PBC'!L187</f>
        <v>15023.96</v>
      </c>
      <c r="N67" s="10">
        <f>+'IS-PBC'!M187</f>
        <v>7806.06</v>
      </c>
      <c r="O67" s="10">
        <f t="shared" si="4"/>
        <v>187892.43999999997</v>
      </c>
      <c r="P67" s="10"/>
      <c r="Q67" s="10">
        <f t="shared" si="5"/>
        <v>187892.43999999997</v>
      </c>
      <c r="R67" s="10"/>
      <c r="S67" s="10">
        <f t="shared" si="6"/>
        <v>187892.43999999997</v>
      </c>
    </row>
    <row r="68" spans="1:27" ht="15" customHeight="1">
      <c r="A68" s="23">
        <v>54</v>
      </c>
      <c r="B68" s="9" t="s">
        <v>40</v>
      </c>
      <c r="C68" s="49">
        <f>'IS-PBC'!B121+'IS-PBC'!B122+'IS-PBC'!B124+'IS-PBC'!B125+'IS-PBC'!B126</f>
        <v>0</v>
      </c>
      <c r="D68" s="49">
        <f>'IS-PBC'!C121+'IS-PBC'!C122+'IS-PBC'!C124+'IS-PBC'!C125+'IS-PBC'!C126</f>
        <v>0</v>
      </c>
      <c r="E68" s="49">
        <f>'IS-PBC'!D121+'IS-PBC'!D122+'IS-PBC'!D124+'IS-PBC'!D125+'IS-PBC'!D126</f>
        <v>0</v>
      </c>
      <c r="F68" s="49">
        <f>'IS-PBC'!E121+'IS-PBC'!E122+'IS-PBC'!E124+'IS-PBC'!E125+'IS-PBC'!E126</f>
        <v>0</v>
      </c>
      <c r="G68" s="49">
        <f>'IS-PBC'!F121+'IS-PBC'!F122+'IS-PBC'!F124+'IS-PBC'!F125+'IS-PBC'!F126</f>
        <v>0</v>
      </c>
      <c r="H68" s="49">
        <f>'IS-PBC'!G121+'IS-PBC'!G122+'IS-PBC'!G124+'IS-PBC'!G125+'IS-PBC'!G126</f>
        <v>0</v>
      </c>
      <c r="I68" s="49">
        <f>'IS-PBC'!H121+'IS-PBC'!H122+'IS-PBC'!H124+'IS-PBC'!H125+'IS-PBC'!H126</f>
        <v>0</v>
      </c>
      <c r="J68" s="49">
        <f>'IS-PBC'!I121+'IS-PBC'!I122+'IS-PBC'!I124+'IS-PBC'!I125+'IS-PBC'!I126</f>
        <v>0</v>
      </c>
      <c r="K68" s="49">
        <f>'IS-PBC'!J121+'IS-PBC'!J122+'IS-PBC'!J124+'IS-PBC'!J125+'IS-PBC'!J126</f>
        <v>0</v>
      </c>
      <c r="L68" s="49">
        <f>'IS-PBC'!K121+'IS-PBC'!K122+'IS-PBC'!K124+'IS-PBC'!K125+'IS-PBC'!K126</f>
        <v>0</v>
      </c>
      <c r="M68" s="49">
        <f>'IS-PBC'!L121+'IS-PBC'!L122+'IS-PBC'!L124+'IS-PBC'!L125+'IS-PBC'!L126</f>
        <v>0</v>
      </c>
      <c r="N68" s="49">
        <f>'IS-PBC'!M121+'IS-PBC'!M122+'IS-PBC'!M124+'IS-PBC'!M125+'IS-PBC'!M126</f>
        <v>1186898.1299999999</v>
      </c>
      <c r="O68" s="49">
        <f t="shared" si="4"/>
        <v>1186898.1299999999</v>
      </c>
      <c r="P68" s="49"/>
      <c r="Q68" s="49">
        <f t="shared" si="5"/>
        <v>1186898.1299999999</v>
      </c>
      <c r="R68" s="10"/>
      <c r="S68" s="10">
        <f t="shared" si="6"/>
        <v>1186898.1299999999</v>
      </c>
    </row>
    <row r="69" spans="1:27" ht="15" customHeight="1">
      <c r="B69" s="8"/>
      <c r="C69" s="10">
        <f t="shared" ref="C69:N69" si="7">SUM(C28:C68)</f>
        <v>1018532.87</v>
      </c>
      <c r="D69" s="10">
        <f t="shared" si="7"/>
        <v>842811.6799999997</v>
      </c>
      <c r="E69" s="10">
        <f t="shared" si="7"/>
        <v>995066.33000000007</v>
      </c>
      <c r="F69" s="10">
        <f t="shared" si="7"/>
        <v>880486.43999999983</v>
      </c>
      <c r="G69" s="10">
        <f t="shared" si="7"/>
        <v>1124710.1199999999</v>
      </c>
      <c r="H69" s="10">
        <f t="shared" si="7"/>
        <v>887562.97000000009</v>
      </c>
      <c r="I69" s="10">
        <f t="shared" si="7"/>
        <v>920612.04</v>
      </c>
      <c r="J69" s="10">
        <f t="shared" si="7"/>
        <v>1038665.1800000003</v>
      </c>
      <c r="K69" s="10">
        <f t="shared" si="7"/>
        <v>1018596.49</v>
      </c>
      <c r="L69" s="10">
        <f t="shared" si="7"/>
        <v>1123006.03</v>
      </c>
      <c r="M69" s="10">
        <f t="shared" si="7"/>
        <v>1057389.29</v>
      </c>
      <c r="N69" s="10">
        <f t="shared" si="7"/>
        <v>2244348.5</v>
      </c>
      <c r="O69" s="10">
        <f t="shared" si="4"/>
        <v>13151787.939999998</v>
      </c>
      <c r="P69" s="45">
        <f>SUM(P28:P68)</f>
        <v>0</v>
      </c>
      <c r="Q69" s="10">
        <f>SUM(Q28:Q68)</f>
        <v>13151787.940000001</v>
      </c>
      <c r="R69" s="10"/>
      <c r="S69" s="10">
        <f t="shared" si="6"/>
        <v>13151787.940000001</v>
      </c>
      <c r="W69" s="448"/>
    </row>
    <row r="70" spans="1:27" ht="15" customHeight="1">
      <c r="B70" s="11" t="s">
        <v>15</v>
      </c>
      <c r="C70" s="712">
        <f t="shared" ref="C70:Q70" si="8">C25-C69</f>
        <v>13281.229999999981</v>
      </c>
      <c r="D70" s="712">
        <f t="shared" si="8"/>
        <v>83958.320000000182</v>
      </c>
      <c r="E70" s="712">
        <f t="shared" si="8"/>
        <v>15282.119999999879</v>
      </c>
      <c r="F70" s="712">
        <f t="shared" si="8"/>
        <v>287951.12000000023</v>
      </c>
      <c r="G70" s="712">
        <f t="shared" si="8"/>
        <v>55363.010000000009</v>
      </c>
      <c r="H70" s="712">
        <f t="shared" si="8"/>
        <v>278414.4099999998</v>
      </c>
      <c r="I70" s="712">
        <f t="shared" si="8"/>
        <v>245616.66999999993</v>
      </c>
      <c r="J70" s="712">
        <f t="shared" si="8"/>
        <v>151474.23999999964</v>
      </c>
      <c r="K70" s="712">
        <f t="shared" si="8"/>
        <v>203742.88000000012</v>
      </c>
      <c r="L70" s="712">
        <f t="shared" si="8"/>
        <v>54510.319999999832</v>
      </c>
      <c r="M70" s="712">
        <f t="shared" si="8"/>
        <v>117808.43000000017</v>
      </c>
      <c r="N70" s="712">
        <f t="shared" si="8"/>
        <v>-1100221.7599999998</v>
      </c>
      <c r="O70" s="712">
        <f t="shared" si="8"/>
        <v>407180.99000000022</v>
      </c>
      <c r="P70" s="712">
        <f t="shared" si="8"/>
        <v>0</v>
      </c>
      <c r="Q70" s="712">
        <f t="shared" si="8"/>
        <v>407180.9899999965</v>
      </c>
      <c r="R70" s="10"/>
      <c r="S70" s="10">
        <f>S25-S69</f>
        <v>407180.9899999965</v>
      </c>
    </row>
    <row r="71" spans="1:27" ht="15" customHeight="1">
      <c r="B71" s="8"/>
      <c r="C71" s="10"/>
      <c r="D71" s="10"/>
      <c r="E71" s="10"/>
      <c r="F71" s="10"/>
      <c r="G71" s="10"/>
      <c r="H71" s="10"/>
      <c r="I71" s="10"/>
      <c r="J71" s="10"/>
      <c r="K71" s="10"/>
      <c r="L71" s="10"/>
      <c r="M71" s="10"/>
      <c r="N71" s="10"/>
      <c r="O71" s="242"/>
      <c r="P71" s="10"/>
      <c r="Q71" s="10"/>
      <c r="R71" s="10"/>
      <c r="S71" s="10"/>
    </row>
    <row r="72" spans="1:27" ht="15" customHeight="1">
      <c r="B72" s="11" t="s">
        <v>41</v>
      </c>
      <c r="C72" s="10"/>
      <c r="D72" s="10"/>
      <c r="E72" s="10"/>
      <c r="F72" s="10"/>
      <c r="G72" s="10"/>
      <c r="H72" s="10"/>
      <c r="I72" s="10"/>
      <c r="J72" s="10"/>
      <c r="K72" s="10"/>
      <c r="L72" s="10"/>
      <c r="M72" s="10"/>
      <c r="N72" s="10"/>
      <c r="O72" s="10"/>
      <c r="P72" s="10"/>
      <c r="Q72" s="10"/>
      <c r="R72" s="10"/>
      <c r="S72" s="10"/>
      <c r="Z72" s="241"/>
      <c r="AA72" s="241"/>
    </row>
    <row r="74" spans="1:27">
      <c r="A74" s="23">
        <v>55</v>
      </c>
      <c r="B74" s="9" t="s">
        <v>714</v>
      </c>
      <c r="C74" s="10">
        <f>+'IS-PBC'!B100</f>
        <v>0</v>
      </c>
      <c r="D74" s="10">
        <f>+'IS-PBC'!C100</f>
        <v>0</v>
      </c>
      <c r="E74" s="10">
        <f>+'IS-PBC'!D100</f>
        <v>1797</v>
      </c>
      <c r="F74" s="10">
        <f>+'IS-PBC'!E100</f>
        <v>0</v>
      </c>
      <c r="G74" s="10">
        <f>+'IS-PBC'!F100</f>
        <v>0</v>
      </c>
      <c r="H74" s="10">
        <f>+'IS-PBC'!G100</f>
        <v>0</v>
      </c>
      <c r="I74" s="10">
        <f>+'IS-PBC'!H100</f>
        <v>0</v>
      </c>
      <c r="J74" s="10">
        <f>+'IS-PBC'!I100</f>
        <v>0</v>
      </c>
      <c r="K74" s="10">
        <f>+'IS-PBC'!J100</f>
        <v>0</v>
      </c>
      <c r="L74" s="10">
        <f>+'IS-PBC'!K100</f>
        <v>0</v>
      </c>
      <c r="M74" s="10">
        <f>+'IS-PBC'!L100</f>
        <v>0</v>
      </c>
      <c r="N74" s="10">
        <f>+'IS-PBC'!M100</f>
        <v>-4284.09</v>
      </c>
      <c r="O74" s="10">
        <f>SUM(C74:N74)</f>
        <v>-2487.09</v>
      </c>
      <c r="Q74" s="10">
        <f>O74+P74</f>
        <v>-2487.09</v>
      </c>
    </row>
    <row r="75" spans="1:27">
      <c r="A75" s="23">
        <v>56</v>
      </c>
      <c r="B75" s="9" t="s">
        <v>986</v>
      </c>
      <c r="C75" s="10">
        <f>'IS-PBC'!B101</f>
        <v>7254.28</v>
      </c>
      <c r="D75" s="10">
        <f>'IS-PBC'!C101</f>
        <v>0</v>
      </c>
      <c r="E75" s="10">
        <f>'IS-PBC'!D101</f>
        <v>0</v>
      </c>
      <c r="F75" s="10">
        <f>'IS-PBC'!E101</f>
        <v>0</v>
      </c>
      <c r="G75" s="10">
        <f>'IS-PBC'!F101</f>
        <v>0</v>
      </c>
      <c r="H75" s="10">
        <f>'IS-PBC'!G101</f>
        <v>0</v>
      </c>
      <c r="I75" s="10">
        <f>'IS-PBC'!H101</f>
        <v>0</v>
      </c>
      <c r="J75" s="10">
        <f>'IS-PBC'!I101</f>
        <v>0</v>
      </c>
      <c r="K75" s="10">
        <f>'IS-PBC'!J101</f>
        <v>0</v>
      </c>
      <c r="L75" s="10">
        <f>'IS-PBC'!K101</f>
        <v>0</v>
      </c>
      <c r="M75" s="10">
        <f>'IS-PBC'!L101</f>
        <v>0</v>
      </c>
      <c r="N75" s="10">
        <f>'IS-PBC'!M101</f>
        <v>273140.25</v>
      </c>
      <c r="O75" s="10">
        <f>SUM(C75:N75)</f>
        <v>280394.53000000003</v>
      </c>
      <c r="Q75" s="10">
        <f>O75+P75</f>
        <v>280394.53000000003</v>
      </c>
    </row>
    <row r="76" spans="1:27" ht="15" customHeight="1">
      <c r="A76" s="23">
        <v>57</v>
      </c>
      <c r="B76" s="9" t="s">
        <v>351</v>
      </c>
      <c r="C76" s="49">
        <v>0</v>
      </c>
      <c r="D76" s="49">
        <v>0</v>
      </c>
      <c r="E76" s="49">
        <v>0</v>
      </c>
      <c r="F76" s="49">
        <v>0</v>
      </c>
      <c r="G76" s="49">
        <v>0</v>
      </c>
      <c r="H76" s="49">
        <v>0</v>
      </c>
      <c r="I76" s="49">
        <v>0</v>
      </c>
      <c r="J76" s="49">
        <v>0</v>
      </c>
      <c r="K76" s="49">
        <v>0</v>
      </c>
      <c r="L76" s="49">
        <v>0</v>
      </c>
      <c r="M76" s="49">
        <v>0</v>
      </c>
      <c r="N76" s="49">
        <v>0</v>
      </c>
      <c r="O76" s="10">
        <f>SUM(C76:N76)</f>
        <v>0</v>
      </c>
      <c r="P76" s="45"/>
      <c r="Q76" s="10">
        <f>O76+P76</f>
        <v>0</v>
      </c>
      <c r="R76" s="10"/>
      <c r="S76" s="10"/>
    </row>
    <row r="77" spans="1:27" ht="15" customHeight="1">
      <c r="B77" s="8"/>
      <c r="C77" s="10"/>
      <c r="D77" s="10"/>
      <c r="E77" s="10"/>
      <c r="F77" s="10"/>
      <c r="G77" s="10"/>
      <c r="H77" s="10"/>
      <c r="I77" s="10"/>
      <c r="J77" s="10"/>
      <c r="K77" s="10"/>
      <c r="L77" s="10"/>
      <c r="M77" s="10"/>
      <c r="N77" s="10"/>
      <c r="O77" s="713"/>
      <c r="P77" s="10"/>
      <c r="Q77" s="10"/>
      <c r="R77" s="10"/>
      <c r="S77" s="10"/>
    </row>
    <row r="78" spans="1:27" ht="15" customHeight="1" thickBot="1">
      <c r="B78" s="11" t="s">
        <v>115</v>
      </c>
      <c r="C78" s="47">
        <f t="shared" ref="C78:O78" si="9">C70+SUM(C74:C76)</f>
        <v>20535.50999999998</v>
      </c>
      <c r="D78" s="47">
        <f t="shared" si="9"/>
        <v>83958.320000000182</v>
      </c>
      <c r="E78" s="47">
        <f t="shared" si="9"/>
        <v>17079.119999999879</v>
      </c>
      <c r="F78" s="47">
        <f t="shared" si="9"/>
        <v>287951.12000000023</v>
      </c>
      <c r="G78" s="47">
        <f t="shared" si="9"/>
        <v>55363.010000000009</v>
      </c>
      <c r="H78" s="47">
        <f t="shared" si="9"/>
        <v>278414.4099999998</v>
      </c>
      <c r="I78" s="47">
        <f t="shared" si="9"/>
        <v>245616.66999999993</v>
      </c>
      <c r="J78" s="47">
        <f t="shared" si="9"/>
        <v>151474.23999999964</v>
      </c>
      <c r="K78" s="47">
        <f t="shared" si="9"/>
        <v>203742.88000000012</v>
      </c>
      <c r="L78" s="47">
        <f t="shared" si="9"/>
        <v>54510.319999999832</v>
      </c>
      <c r="M78" s="47">
        <f t="shared" si="9"/>
        <v>117808.43000000017</v>
      </c>
      <c r="N78" s="47">
        <f t="shared" si="9"/>
        <v>-831365.59999999986</v>
      </c>
      <c r="O78" s="47">
        <f t="shared" si="9"/>
        <v>685088.43000000017</v>
      </c>
      <c r="P78" s="47">
        <f>P76+P70</f>
        <v>0</v>
      </c>
      <c r="Q78" s="47">
        <f>Q70+SUM(Q74:Q76)</f>
        <v>685088.42999999644</v>
      </c>
      <c r="R78" s="10"/>
      <c r="S78" s="10"/>
    </row>
    <row r="79" spans="1:27" ht="15" customHeight="1" thickTop="1">
      <c r="C79" s="10"/>
      <c r="D79" s="10"/>
      <c r="E79" s="10"/>
      <c r="F79" s="10"/>
      <c r="G79" s="10"/>
      <c r="H79" s="10"/>
      <c r="I79" s="10"/>
      <c r="J79" s="10"/>
      <c r="K79" s="10"/>
      <c r="L79" s="10"/>
      <c r="M79" s="10"/>
      <c r="N79" s="10"/>
      <c r="O79" s="242"/>
      <c r="P79" s="48"/>
      <c r="Q79" s="10"/>
      <c r="R79" s="10"/>
      <c r="S79" s="10"/>
    </row>
    <row r="80" spans="1:27" ht="15" customHeight="1">
      <c r="C80" s="10"/>
      <c r="D80" s="10"/>
      <c r="E80" s="10"/>
      <c r="F80" s="10"/>
      <c r="G80" s="10"/>
      <c r="H80" s="10"/>
      <c r="I80" s="10"/>
      <c r="J80" s="10"/>
      <c r="K80" s="10"/>
      <c r="L80" s="10"/>
      <c r="M80" s="10"/>
      <c r="N80" s="10"/>
      <c r="O80" s="243"/>
      <c r="P80" s="48"/>
      <c r="Q80" s="10"/>
      <c r="R80" s="10"/>
      <c r="S80" s="10"/>
    </row>
    <row r="81" spans="3:19" ht="15" customHeight="1">
      <c r="C81" s="10"/>
      <c r="D81" s="10"/>
      <c r="E81" s="10"/>
      <c r="F81" s="10"/>
      <c r="G81" s="10"/>
      <c r="H81" s="10"/>
      <c r="I81" s="10"/>
      <c r="J81" s="10"/>
      <c r="K81" s="10"/>
      <c r="L81" s="10"/>
      <c r="M81" s="10"/>
      <c r="N81" s="10"/>
      <c r="O81" s="10"/>
      <c r="P81" s="48"/>
      <c r="Q81" s="10"/>
      <c r="R81" s="10"/>
      <c r="S81" s="10"/>
    </row>
    <row r="82" spans="3:19" ht="15" customHeight="1">
      <c r="C82" s="10"/>
      <c r="D82" s="10"/>
      <c r="E82" s="10"/>
      <c r="F82" s="10"/>
      <c r="G82" s="10"/>
      <c r="H82" s="10"/>
      <c r="I82" s="10"/>
      <c r="J82" s="10"/>
      <c r="K82" s="10"/>
      <c r="L82" s="10"/>
      <c r="M82" s="10"/>
      <c r="N82" s="10"/>
      <c r="O82" s="10"/>
      <c r="P82" s="10"/>
      <c r="Q82" s="10"/>
      <c r="R82" s="10"/>
      <c r="S82" s="10"/>
    </row>
    <row r="83" spans="3:19" ht="15" customHeight="1">
      <c r="C83" s="10"/>
      <c r="D83" s="10"/>
      <c r="E83" s="10"/>
      <c r="F83" s="10"/>
      <c r="G83" s="10"/>
      <c r="H83" s="10"/>
      <c r="I83" s="10"/>
      <c r="J83" s="10"/>
      <c r="K83" s="10"/>
      <c r="L83" s="10"/>
      <c r="M83" s="10"/>
      <c r="N83" s="10"/>
      <c r="O83" s="10"/>
      <c r="P83" s="10"/>
      <c r="Q83" s="10"/>
      <c r="R83" s="10"/>
      <c r="S83" s="10"/>
    </row>
    <row r="84" spans="3:19" ht="15" customHeight="1">
      <c r="C84" s="10"/>
      <c r="D84" s="10"/>
      <c r="E84" s="10"/>
      <c r="F84" s="10"/>
      <c r="G84" s="10"/>
      <c r="H84" s="10"/>
      <c r="I84" s="10"/>
      <c r="J84" s="10"/>
      <c r="K84" s="10"/>
      <c r="L84" s="10"/>
      <c r="M84" s="10"/>
      <c r="N84" s="10"/>
      <c r="O84" s="10"/>
      <c r="P84" s="10"/>
      <c r="Q84" s="10"/>
      <c r="R84" s="10"/>
      <c r="S84" s="10"/>
    </row>
    <row r="85" spans="3:19" ht="15" customHeight="1">
      <c r="C85" s="10"/>
      <c r="D85" s="10"/>
      <c r="E85" s="10"/>
      <c r="F85" s="10"/>
      <c r="G85" s="10"/>
      <c r="H85" s="10"/>
      <c r="I85" s="10"/>
      <c r="J85" s="10"/>
      <c r="K85" s="10"/>
      <c r="L85" s="10"/>
      <c r="M85" s="10"/>
      <c r="N85" s="10"/>
      <c r="O85" s="10"/>
      <c r="P85" s="10"/>
      <c r="Q85" s="10"/>
      <c r="R85" s="10"/>
      <c r="S85" s="10"/>
    </row>
    <row r="86" spans="3:19" ht="15" customHeight="1">
      <c r="C86" s="10"/>
      <c r="D86" s="10"/>
      <c r="E86" s="10"/>
      <c r="F86" s="10"/>
      <c r="G86" s="10"/>
      <c r="H86" s="10"/>
      <c r="I86" s="10"/>
      <c r="J86" s="10"/>
      <c r="K86" s="10"/>
      <c r="L86" s="10"/>
      <c r="M86" s="10"/>
      <c r="N86" s="10"/>
      <c r="O86" s="10"/>
      <c r="P86" s="10"/>
      <c r="Q86" s="10"/>
      <c r="R86" s="10"/>
      <c r="S86" s="10"/>
    </row>
    <row r="87" spans="3:19" ht="15" customHeight="1">
      <c r="C87" s="10"/>
      <c r="D87" s="10"/>
      <c r="E87" s="10"/>
      <c r="F87" s="10"/>
      <c r="G87" s="10"/>
      <c r="H87" s="10"/>
      <c r="I87" s="10"/>
      <c r="J87" s="10"/>
      <c r="K87" s="10"/>
      <c r="L87" s="10"/>
      <c r="M87" s="10"/>
      <c r="N87" s="10"/>
      <c r="O87" s="10"/>
      <c r="P87" s="10"/>
      <c r="Q87" s="10"/>
      <c r="R87" s="10"/>
      <c r="S87" s="10"/>
    </row>
    <row r="88" spans="3:19" ht="15" customHeight="1">
      <c r="C88" s="10"/>
      <c r="D88" s="10"/>
      <c r="E88" s="10"/>
      <c r="F88" s="10"/>
      <c r="G88" s="10"/>
      <c r="H88" s="10"/>
      <c r="I88" s="10"/>
      <c r="J88" s="10"/>
      <c r="K88" s="10"/>
      <c r="L88" s="10"/>
      <c r="M88" s="10"/>
      <c r="N88" s="10"/>
      <c r="O88" s="10"/>
      <c r="P88" s="10"/>
      <c r="Q88" s="10"/>
      <c r="R88" s="10"/>
      <c r="S88" s="10"/>
    </row>
    <row r="89" spans="3:19" ht="15" customHeight="1">
      <c r="C89" s="10"/>
      <c r="D89" s="10"/>
      <c r="E89" s="10"/>
      <c r="F89" s="10"/>
      <c r="G89" s="10"/>
      <c r="H89" s="10"/>
      <c r="I89" s="10"/>
      <c r="J89" s="10"/>
      <c r="K89" s="10"/>
      <c r="L89" s="10"/>
      <c r="M89" s="10"/>
      <c r="N89" s="10"/>
      <c r="O89" s="10"/>
      <c r="P89" s="10"/>
      <c r="Q89" s="10"/>
      <c r="R89" s="10"/>
      <c r="S89" s="10"/>
    </row>
    <row r="90" spans="3:19" ht="15" customHeight="1">
      <c r="C90" s="10"/>
      <c r="D90" s="10"/>
      <c r="E90" s="10"/>
      <c r="F90" s="10"/>
      <c r="G90" s="10"/>
      <c r="H90" s="10"/>
      <c r="I90" s="10"/>
      <c r="J90" s="10"/>
      <c r="K90" s="10"/>
      <c r="L90" s="10"/>
      <c r="M90" s="10"/>
      <c r="N90" s="10"/>
      <c r="O90" s="10"/>
      <c r="P90" s="10"/>
      <c r="Q90" s="10"/>
      <c r="R90" s="10"/>
      <c r="S90" s="10"/>
    </row>
    <row r="91" spans="3:19" ht="15" customHeight="1">
      <c r="C91" s="10"/>
      <c r="D91" s="10"/>
      <c r="E91" s="10"/>
      <c r="F91" s="10"/>
      <c r="G91" s="10"/>
      <c r="H91" s="10"/>
      <c r="I91" s="10"/>
      <c r="J91" s="10"/>
      <c r="K91" s="10"/>
      <c r="L91" s="10"/>
      <c r="M91" s="10"/>
      <c r="N91" s="10"/>
      <c r="O91" s="10"/>
      <c r="P91" s="10"/>
      <c r="Q91" s="10"/>
      <c r="R91" s="10"/>
      <c r="S91" s="10"/>
    </row>
    <row r="92" spans="3:19" ht="15" customHeight="1">
      <c r="C92" s="10"/>
      <c r="D92" s="10"/>
      <c r="E92" s="10"/>
      <c r="F92" s="10"/>
      <c r="G92" s="10"/>
      <c r="H92" s="10"/>
      <c r="I92" s="10"/>
      <c r="J92" s="10"/>
      <c r="K92" s="10"/>
      <c r="L92" s="10"/>
      <c r="M92" s="10"/>
      <c r="N92" s="10"/>
      <c r="O92" s="10"/>
      <c r="P92" s="10"/>
      <c r="Q92" s="10"/>
      <c r="R92" s="10"/>
      <c r="S92" s="10"/>
    </row>
    <row r="93" spans="3:19" ht="15" customHeight="1">
      <c r="C93" s="10"/>
      <c r="D93" s="10"/>
      <c r="E93" s="10"/>
      <c r="F93" s="10"/>
      <c r="G93" s="10"/>
      <c r="H93" s="10"/>
      <c r="I93" s="10"/>
      <c r="J93" s="10"/>
      <c r="K93" s="10"/>
      <c r="L93" s="10"/>
      <c r="M93" s="10"/>
      <c r="N93" s="10"/>
      <c r="O93" s="10"/>
      <c r="P93" s="10"/>
      <c r="Q93" s="10"/>
      <c r="R93" s="10"/>
      <c r="S93" s="10"/>
    </row>
    <row r="94" spans="3:19" ht="15" customHeight="1">
      <c r="C94" s="10"/>
      <c r="D94" s="10"/>
      <c r="E94" s="10"/>
      <c r="F94" s="10"/>
      <c r="G94" s="10"/>
      <c r="H94" s="10"/>
      <c r="I94" s="10"/>
      <c r="J94" s="10"/>
      <c r="K94" s="10"/>
      <c r="L94" s="10"/>
      <c r="M94" s="10"/>
      <c r="N94" s="10"/>
      <c r="O94" s="10"/>
      <c r="P94" s="10"/>
      <c r="Q94" s="10"/>
      <c r="R94" s="10"/>
      <c r="S94" s="10"/>
    </row>
    <row r="95" spans="3:19" ht="15" customHeight="1">
      <c r="C95" s="10"/>
      <c r="D95" s="10"/>
      <c r="E95" s="10"/>
      <c r="F95" s="10"/>
      <c r="G95" s="10"/>
      <c r="H95" s="10"/>
      <c r="I95" s="10"/>
      <c r="J95" s="10"/>
      <c r="K95" s="10"/>
      <c r="L95" s="10"/>
      <c r="M95" s="10"/>
      <c r="N95" s="10"/>
      <c r="O95" s="10"/>
      <c r="P95" s="10"/>
      <c r="Q95" s="10"/>
      <c r="R95" s="10"/>
      <c r="S95" s="10"/>
    </row>
    <row r="96" spans="3:19" ht="15" customHeight="1">
      <c r="C96" s="10"/>
      <c r="D96" s="10"/>
      <c r="E96" s="10"/>
      <c r="F96" s="10"/>
      <c r="G96" s="10"/>
      <c r="H96" s="10"/>
      <c r="I96" s="10"/>
      <c r="J96" s="10"/>
      <c r="K96" s="10"/>
      <c r="L96" s="10"/>
      <c r="M96" s="10"/>
      <c r="N96" s="10"/>
      <c r="O96" s="10"/>
      <c r="P96" s="10"/>
      <c r="Q96" s="10"/>
      <c r="R96" s="10"/>
      <c r="S96" s="10"/>
    </row>
    <row r="97" spans="3:19" ht="15" customHeight="1">
      <c r="C97" s="10"/>
      <c r="D97" s="10"/>
      <c r="E97" s="10"/>
      <c r="F97" s="10"/>
      <c r="G97" s="10"/>
      <c r="H97" s="10"/>
      <c r="I97" s="10"/>
      <c r="J97" s="10"/>
      <c r="K97" s="10"/>
      <c r="L97" s="10"/>
      <c r="M97" s="10"/>
      <c r="N97" s="10"/>
      <c r="O97" s="10"/>
      <c r="P97" s="10"/>
      <c r="Q97" s="10"/>
      <c r="R97" s="10"/>
      <c r="S97" s="10"/>
    </row>
    <row r="98" spans="3:19" ht="15" customHeight="1">
      <c r="C98" s="10"/>
      <c r="D98" s="10"/>
      <c r="E98" s="10"/>
      <c r="F98" s="10"/>
      <c r="G98" s="10"/>
      <c r="H98" s="10"/>
      <c r="I98" s="10"/>
      <c r="J98" s="10"/>
      <c r="K98" s="10"/>
      <c r="L98" s="10"/>
      <c r="M98" s="10"/>
      <c r="N98" s="10"/>
      <c r="O98" s="10"/>
      <c r="P98" s="10"/>
      <c r="Q98" s="10"/>
      <c r="R98" s="10"/>
      <c r="S98" s="10"/>
    </row>
    <row r="99" spans="3:19" ht="15" customHeight="1">
      <c r="C99" s="10"/>
      <c r="D99" s="10"/>
      <c r="E99" s="10"/>
      <c r="F99" s="10"/>
      <c r="G99" s="10"/>
      <c r="H99" s="10"/>
      <c r="I99" s="10"/>
      <c r="J99" s="10"/>
      <c r="K99" s="10"/>
      <c r="L99" s="10"/>
      <c r="M99" s="10"/>
      <c r="N99" s="10"/>
      <c r="O99" s="10"/>
      <c r="P99" s="10"/>
      <c r="Q99" s="10"/>
      <c r="R99" s="10"/>
      <c r="S99" s="10"/>
    </row>
    <row r="100" spans="3:19" ht="15" customHeight="1">
      <c r="C100" s="10"/>
      <c r="D100" s="10"/>
      <c r="E100" s="10"/>
      <c r="F100" s="10"/>
      <c r="G100" s="10"/>
      <c r="H100" s="10"/>
      <c r="I100" s="10"/>
      <c r="J100" s="10"/>
      <c r="K100" s="10"/>
      <c r="L100" s="10"/>
      <c r="M100" s="10"/>
      <c r="N100" s="10"/>
      <c r="O100" s="10"/>
      <c r="P100" s="10"/>
      <c r="Q100" s="10"/>
      <c r="R100" s="10"/>
      <c r="S100" s="10"/>
    </row>
    <row r="101" spans="3:19" ht="15" customHeight="1">
      <c r="C101" s="10"/>
      <c r="D101" s="10"/>
      <c r="E101" s="10"/>
      <c r="F101" s="10"/>
      <c r="G101" s="10"/>
      <c r="H101" s="10"/>
      <c r="I101" s="10"/>
      <c r="J101" s="10"/>
      <c r="K101" s="10"/>
      <c r="L101" s="10"/>
      <c r="M101" s="10"/>
      <c r="N101" s="10"/>
      <c r="O101" s="10"/>
      <c r="P101" s="10"/>
      <c r="Q101" s="10"/>
      <c r="R101" s="10"/>
      <c r="S101" s="10"/>
    </row>
    <row r="102" spans="3:19" ht="15" customHeight="1">
      <c r="C102" s="10"/>
      <c r="D102" s="10"/>
      <c r="E102" s="10"/>
      <c r="F102" s="10"/>
      <c r="G102" s="10"/>
      <c r="H102" s="10"/>
      <c r="I102" s="10"/>
      <c r="J102" s="10"/>
      <c r="K102" s="10"/>
      <c r="L102" s="10"/>
      <c r="M102" s="10"/>
      <c r="N102" s="10"/>
      <c r="O102" s="10"/>
      <c r="P102" s="10"/>
      <c r="Q102" s="10"/>
      <c r="R102" s="10"/>
      <c r="S102" s="10"/>
    </row>
    <row r="103" spans="3:19" ht="15" customHeight="1">
      <c r="C103" s="10"/>
      <c r="D103" s="10"/>
      <c r="E103" s="10"/>
      <c r="F103" s="10"/>
      <c r="G103" s="10"/>
      <c r="H103" s="10"/>
      <c r="I103" s="10"/>
      <c r="J103" s="10"/>
      <c r="K103" s="10"/>
      <c r="L103" s="10"/>
      <c r="M103" s="10"/>
      <c r="N103" s="10"/>
      <c r="O103" s="10"/>
      <c r="P103" s="10"/>
      <c r="Q103" s="10"/>
      <c r="R103" s="10"/>
      <c r="S103" s="10"/>
    </row>
    <row r="104" spans="3:19" ht="15" customHeight="1">
      <c r="C104" s="10"/>
      <c r="D104" s="10"/>
      <c r="E104" s="10"/>
      <c r="F104" s="10"/>
      <c r="G104" s="10"/>
      <c r="H104" s="10"/>
      <c r="I104" s="10"/>
      <c r="J104" s="10"/>
      <c r="K104" s="10"/>
      <c r="L104" s="10"/>
      <c r="M104" s="10"/>
      <c r="N104" s="10"/>
      <c r="O104" s="10"/>
      <c r="P104" s="10"/>
      <c r="Q104" s="10"/>
      <c r="R104" s="10"/>
      <c r="S104" s="10"/>
    </row>
    <row r="105" spans="3:19" ht="15" customHeight="1">
      <c r="C105" s="10"/>
      <c r="D105" s="10"/>
      <c r="E105" s="10"/>
      <c r="F105" s="10"/>
      <c r="G105" s="10"/>
      <c r="H105" s="10"/>
      <c r="I105" s="10"/>
      <c r="J105" s="10"/>
      <c r="K105" s="10"/>
      <c r="L105" s="10"/>
      <c r="M105" s="10"/>
      <c r="N105" s="10"/>
      <c r="O105" s="10"/>
      <c r="P105" s="10"/>
      <c r="Q105" s="10"/>
      <c r="R105" s="10"/>
      <c r="S105" s="10"/>
    </row>
    <row r="106" spans="3:19" ht="15" customHeight="1">
      <c r="C106" s="10"/>
      <c r="D106" s="10"/>
      <c r="E106" s="10"/>
      <c r="F106" s="10"/>
      <c r="G106" s="10"/>
      <c r="H106" s="10"/>
      <c r="I106" s="10"/>
      <c r="J106" s="10"/>
      <c r="K106" s="10"/>
      <c r="L106" s="10"/>
      <c r="M106" s="10"/>
      <c r="N106" s="10"/>
      <c r="O106" s="10"/>
      <c r="P106" s="10"/>
      <c r="Q106" s="10"/>
      <c r="R106" s="10"/>
      <c r="S106" s="10"/>
    </row>
    <row r="107" spans="3:19" ht="15" customHeight="1">
      <c r="C107" s="10"/>
      <c r="D107" s="10"/>
      <c r="E107" s="10"/>
      <c r="F107" s="10"/>
      <c r="G107" s="10"/>
      <c r="H107" s="10"/>
      <c r="I107" s="10"/>
      <c r="J107" s="10"/>
      <c r="K107" s="10"/>
      <c r="L107" s="10"/>
      <c r="M107" s="10"/>
      <c r="N107" s="10"/>
      <c r="O107" s="10"/>
      <c r="P107" s="10"/>
      <c r="Q107" s="10"/>
      <c r="R107" s="10"/>
      <c r="S107" s="10"/>
    </row>
    <row r="108" spans="3:19" ht="15" customHeight="1">
      <c r="C108" s="10"/>
      <c r="D108" s="10"/>
      <c r="E108" s="10"/>
      <c r="F108" s="10"/>
      <c r="G108" s="10"/>
      <c r="H108" s="10"/>
      <c r="I108" s="10"/>
      <c r="J108" s="10"/>
      <c r="K108" s="10"/>
      <c r="L108" s="10"/>
      <c r="M108" s="10"/>
      <c r="N108" s="10"/>
      <c r="O108" s="10"/>
      <c r="P108" s="10"/>
      <c r="Q108" s="10"/>
      <c r="R108" s="10"/>
      <c r="S108" s="10"/>
    </row>
    <row r="109" spans="3:19" ht="15" customHeight="1">
      <c r="C109" s="10"/>
      <c r="D109" s="10"/>
      <c r="E109" s="10"/>
      <c r="F109" s="10"/>
      <c r="G109" s="10"/>
      <c r="H109" s="10"/>
      <c r="I109" s="10"/>
      <c r="J109" s="10"/>
      <c r="K109" s="10"/>
      <c r="L109" s="10"/>
      <c r="M109" s="10"/>
      <c r="N109" s="10"/>
      <c r="O109" s="10"/>
      <c r="P109" s="10"/>
      <c r="Q109" s="10"/>
      <c r="R109" s="10"/>
      <c r="S109" s="10"/>
    </row>
    <row r="110" spans="3:19" ht="15" customHeight="1">
      <c r="C110" s="10"/>
      <c r="D110" s="10"/>
      <c r="E110" s="10"/>
      <c r="F110" s="10"/>
      <c r="G110" s="10"/>
      <c r="H110" s="10"/>
      <c r="I110" s="10"/>
      <c r="J110" s="10"/>
      <c r="K110" s="10"/>
      <c r="L110" s="10"/>
      <c r="M110" s="10"/>
      <c r="N110" s="10"/>
      <c r="O110" s="10"/>
      <c r="P110" s="10"/>
      <c r="Q110" s="10"/>
      <c r="R110" s="10"/>
      <c r="S110" s="10"/>
    </row>
    <row r="111" spans="3:19" ht="15" customHeight="1">
      <c r="C111" s="10"/>
      <c r="D111" s="10"/>
      <c r="E111" s="10"/>
      <c r="F111" s="10"/>
      <c r="G111" s="10"/>
      <c r="H111" s="10"/>
      <c r="I111" s="10"/>
      <c r="J111" s="10"/>
      <c r="K111" s="10"/>
      <c r="L111" s="10"/>
      <c r="M111" s="10"/>
      <c r="N111" s="10"/>
      <c r="O111" s="10"/>
      <c r="P111" s="10"/>
      <c r="Q111" s="10"/>
      <c r="R111" s="10"/>
      <c r="S111" s="10"/>
    </row>
    <row r="112" spans="3:19" ht="15" customHeight="1">
      <c r="C112" s="10"/>
      <c r="D112" s="10"/>
      <c r="E112" s="10"/>
      <c r="F112" s="10"/>
      <c r="G112" s="10"/>
      <c r="H112" s="10"/>
      <c r="I112" s="10"/>
      <c r="J112" s="10"/>
      <c r="K112" s="10"/>
      <c r="L112" s="10"/>
      <c r="M112" s="10"/>
      <c r="N112" s="10"/>
      <c r="O112" s="10"/>
      <c r="P112" s="10"/>
      <c r="Q112" s="10"/>
      <c r="R112" s="10"/>
      <c r="S112" s="10"/>
    </row>
    <row r="113" spans="3:19" ht="15" customHeight="1">
      <c r="C113" s="10"/>
      <c r="D113" s="10"/>
      <c r="E113" s="10"/>
      <c r="F113" s="10"/>
      <c r="G113" s="10"/>
      <c r="H113" s="10"/>
      <c r="I113" s="10"/>
      <c r="J113" s="10"/>
      <c r="K113" s="10"/>
      <c r="L113" s="10"/>
      <c r="M113" s="10"/>
      <c r="N113" s="10"/>
      <c r="O113" s="10"/>
      <c r="P113" s="10"/>
      <c r="Q113" s="10"/>
      <c r="R113" s="10"/>
      <c r="S113" s="10"/>
    </row>
    <row r="114" spans="3:19" ht="15" customHeight="1">
      <c r="C114" s="10"/>
      <c r="D114" s="10"/>
      <c r="E114" s="10"/>
      <c r="F114" s="10"/>
      <c r="G114" s="10"/>
      <c r="H114" s="10"/>
      <c r="I114" s="10"/>
      <c r="J114" s="10"/>
      <c r="K114" s="10"/>
      <c r="L114" s="10"/>
      <c r="M114" s="10"/>
      <c r="N114" s="10"/>
      <c r="O114" s="10"/>
      <c r="P114" s="10"/>
      <c r="Q114" s="10"/>
      <c r="R114" s="10"/>
      <c r="S114" s="10"/>
    </row>
    <row r="115" spans="3:19" ht="15" customHeight="1">
      <c r="C115" s="10"/>
      <c r="D115" s="10"/>
      <c r="E115" s="10"/>
      <c r="F115" s="10"/>
      <c r="G115" s="10"/>
      <c r="H115" s="10"/>
      <c r="I115" s="10"/>
      <c r="J115" s="10"/>
      <c r="K115" s="10"/>
      <c r="L115" s="10"/>
      <c r="M115" s="10"/>
      <c r="N115" s="10"/>
      <c r="O115" s="10"/>
      <c r="P115" s="10"/>
      <c r="Q115" s="10"/>
      <c r="R115" s="10"/>
      <c r="S115" s="10"/>
    </row>
    <row r="116" spans="3:19" ht="15" customHeight="1">
      <c r="C116" s="10"/>
      <c r="D116" s="10"/>
      <c r="E116" s="10"/>
      <c r="F116" s="10"/>
      <c r="G116" s="10"/>
      <c r="H116" s="10"/>
      <c r="I116" s="10"/>
      <c r="J116" s="10"/>
      <c r="K116" s="10"/>
      <c r="L116" s="10"/>
      <c r="M116" s="10"/>
      <c r="N116" s="10"/>
      <c r="O116" s="10"/>
      <c r="P116" s="10"/>
      <c r="Q116" s="10"/>
      <c r="R116" s="10"/>
      <c r="S116" s="10"/>
    </row>
    <row r="117" spans="3:19" ht="15" customHeight="1">
      <c r="C117" s="10"/>
      <c r="D117" s="10"/>
      <c r="E117" s="10"/>
      <c r="F117" s="10"/>
      <c r="G117" s="10"/>
      <c r="H117" s="10"/>
      <c r="I117" s="10"/>
      <c r="J117" s="10"/>
      <c r="K117" s="10"/>
      <c r="L117" s="10"/>
      <c r="M117" s="10"/>
      <c r="N117" s="10"/>
      <c r="O117" s="10"/>
      <c r="P117" s="10"/>
      <c r="Q117" s="10"/>
      <c r="R117" s="10"/>
      <c r="S117" s="10"/>
    </row>
    <row r="118" spans="3:19" ht="15" customHeight="1">
      <c r="C118" s="10"/>
      <c r="D118" s="10"/>
      <c r="E118" s="10"/>
      <c r="F118" s="10"/>
      <c r="G118" s="10"/>
      <c r="H118" s="10"/>
      <c r="I118" s="10"/>
      <c r="J118" s="10"/>
      <c r="K118" s="10"/>
      <c r="L118" s="10"/>
      <c r="M118" s="10"/>
      <c r="N118" s="10"/>
      <c r="O118" s="10"/>
      <c r="P118" s="10"/>
      <c r="Q118" s="10"/>
      <c r="R118" s="10"/>
      <c r="S118" s="10"/>
    </row>
    <row r="119" spans="3:19" ht="15" customHeight="1">
      <c r="C119" s="10"/>
      <c r="D119" s="10"/>
      <c r="E119" s="10"/>
      <c r="F119" s="10"/>
      <c r="G119" s="10"/>
      <c r="H119" s="10"/>
      <c r="I119" s="10"/>
      <c r="J119" s="10"/>
      <c r="K119" s="10"/>
      <c r="L119" s="10"/>
      <c r="M119" s="10"/>
      <c r="N119" s="10"/>
      <c r="O119" s="10"/>
      <c r="P119" s="10"/>
      <c r="Q119" s="10"/>
      <c r="R119" s="10"/>
      <c r="S119" s="10"/>
    </row>
    <row r="120" spans="3:19" ht="15" customHeight="1"/>
    <row r="121" spans="3:19" ht="15" customHeight="1"/>
    <row r="122" spans="3:19" ht="15" customHeight="1"/>
    <row r="123" spans="3:19" ht="15" customHeight="1"/>
    <row r="124" spans="3:19" ht="15" customHeight="1"/>
    <row r="125" spans="3:19" ht="15" customHeight="1"/>
    <row r="126" spans="3:19" ht="15" customHeight="1"/>
    <row r="127" spans="3:19" ht="15" customHeight="1"/>
    <row r="128" spans="3: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mergeCells count="4">
    <mergeCell ref="B1:S1"/>
    <mergeCell ref="B3:S3"/>
    <mergeCell ref="B6:S6"/>
    <mergeCell ref="B5:S5"/>
  </mergeCells>
  <phoneticPr fontId="0" type="noConversion"/>
  <printOptions horizontalCentered="1"/>
  <pageMargins left="0.25" right="0.25" top="0.75" bottom="0.5" header="0" footer="0.25"/>
  <pageSetup scale="39" fitToHeight="3" orientation="landscape" horizontalDpi="300" verticalDpi="300" r:id="rId1"/>
  <headerFooter alignWithMargins="0">
    <oddFooter xml:space="preserve">&amp;C&amp;9
&amp;"Times New Roman,Regular"&amp;10See accompanying summary of significant forecast  assumptions.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H17"/>
  <sheetViews>
    <sheetView zoomScaleNormal="100" workbookViewId="0"/>
  </sheetViews>
  <sheetFormatPr defaultRowHeight="15"/>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29.25" customHeight="1">
      <c r="A15" s="950" t="s">
        <v>120</v>
      </c>
      <c r="B15" s="950"/>
      <c r="C15" s="950"/>
      <c r="D15" s="950"/>
      <c r="E15" s="950"/>
      <c r="F15" s="950"/>
      <c r="G15" s="950"/>
      <c r="H15" s="950"/>
    </row>
    <row r="16" spans="1:8" ht="16.5">
      <c r="C16" s="7"/>
    </row>
    <row r="17" spans="3:3" ht="16.5">
      <c r="C17" s="7"/>
    </row>
  </sheetData>
  <mergeCells count="1">
    <mergeCell ref="A15:H15"/>
  </mergeCells>
  <printOptions horizontalCentered="1"/>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21"/>
  <dimension ref="A1:P58"/>
  <sheetViews>
    <sheetView zoomScale="85" zoomScaleNormal="85" workbookViewId="0">
      <selection sqref="A1:P1"/>
    </sheetView>
  </sheetViews>
  <sheetFormatPr defaultColWidth="9.6640625" defaultRowHeight="15.75"/>
  <cols>
    <col min="1" max="1" width="20.6640625" style="289" customWidth="1"/>
    <col min="2" max="2" width="13" style="289" customWidth="1"/>
    <col min="3" max="3" width="0.88671875" style="289" customWidth="1"/>
    <col min="4" max="4" width="19.88671875" style="289" customWidth="1"/>
    <col min="5" max="5" width="0.88671875" style="289" customWidth="1"/>
    <col min="6" max="6" width="15.109375" style="289" customWidth="1"/>
    <col min="7" max="7" width="0.88671875" style="289" customWidth="1"/>
    <col min="8" max="8" width="12.88671875" style="289" bestFit="1" customWidth="1"/>
    <col min="9" max="9" width="0.88671875" style="289" customWidth="1"/>
    <col min="10" max="10" width="13.109375" style="289" bestFit="1" customWidth="1"/>
    <col min="11" max="11" width="0.88671875" style="289" customWidth="1"/>
    <col min="12" max="12" width="14.109375" style="289" bestFit="1" customWidth="1"/>
    <col min="13" max="13" width="0.88671875" style="289" customWidth="1"/>
    <col min="14" max="14" width="14.109375" style="289" bestFit="1" customWidth="1"/>
    <col min="15" max="15" width="0.88671875" style="289" customWidth="1"/>
    <col min="16" max="16" width="12.88671875" style="289" bestFit="1" customWidth="1"/>
    <col min="17" max="17" width="9.6640625" style="289" customWidth="1"/>
    <col min="18" max="16384" width="9.6640625" style="289"/>
  </cols>
  <sheetData>
    <row r="1" spans="1:16" ht="16.5" customHeight="1">
      <c r="A1" s="951" t="str">
        <f>+Assumptions!A1</f>
        <v>Consolidated Disposal Services, Inc.</v>
      </c>
      <c r="B1" s="951"/>
      <c r="C1" s="951"/>
      <c r="D1" s="951"/>
      <c r="E1" s="951"/>
      <c r="F1" s="951"/>
      <c r="G1" s="951"/>
      <c r="H1" s="951"/>
      <c r="I1" s="951"/>
      <c r="J1" s="951"/>
      <c r="K1" s="951"/>
      <c r="L1" s="951"/>
      <c r="M1" s="951"/>
      <c r="N1" s="951"/>
      <c r="O1" s="951"/>
      <c r="P1" s="951"/>
    </row>
    <row r="2" spans="1:16" ht="13.5" customHeight="1">
      <c r="A2" s="290"/>
      <c r="B2" s="291"/>
      <c r="C2" s="291"/>
      <c r="D2" s="291"/>
      <c r="E2" s="291"/>
      <c r="F2" s="291"/>
      <c r="G2" s="291"/>
      <c r="H2" s="291"/>
      <c r="I2" s="291"/>
      <c r="J2" s="291"/>
      <c r="K2" s="291"/>
      <c r="L2" s="291"/>
      <c r="M2" s="291"/>
      <c r="N2" s="291"/>
      <c r="O2" s="291"/>
      <c r="P2" s="291"/>
    </row>
    <row r="3" spans="1:16" ht="16.5" customHeight="1">
      <c r="A3" s="951" t="s">
        <v>208</v>
      </c>
      <c r="B3" s="951"/>
      <c r="C3" s="951"/>
      <c r="D3" s="951"/>
      <c r="E3" s="951"/>
      <c r="F3" s="951"/>
      <c r="G3" s="951"/>
      <c r="H3" s="951"/>
      <c r="I3" s="951"/>
      <c r="J3" s="951"/>
      <c r="K3" s="951"/>
      <c r="L3" s="951"/>
      <c r="M3" s="951"/>
      <c r="N3" s="951"/>
      <c r="O3" s="951"/>
      <c r="P3" s="951"/>
    </row>
    <row r="4" spans="1:16">
      <c r="A4" s="292"/>
      <c r="B4" s="292"/>
      <c r="C4" s="292"/>
      <c r="D4" s="292"/>
      <c r="E4" s="292"/>
      <c r="G4" s="292"/>
      <c r="H4" s="292"/>
      <c r="I4" s="292"/>
      <c r="J4" s="292"/>
      <c r="K4" s="292"/>
      <c r="L4" s="292"/>
      <c r="M4" s="292"/>
      <c r="N4" s="292"/>
      <c r="O4" s="292"/>
      <c r="P4" s="292"/>
    </row>
    <row r="5" spans="1:16" ht="16.5">
      <c r="A5" s="951" t="s">
        <v>1263</v>
      </c>
      <c r="B5" s="951"/>
      <c r="C5" s="951"/>
      <c r="D5" s="951"/>
      <c r="E5" s="951"/>
      <c r="F5" s="951"/>
      <c r="G5" s="951"/>
      <c r="H5" s="951"/>
      <c r="I5" s="951"/>
      <c r="J5" s="951"/>
      <c r="K5" s="951"/>
      <c r="L5" s="951"/>
      <c r="M5" s="951"/>
      <c r="N5" s="951"/>
      <c r="O5" s="951"/>
      <c r="P5" s="951"/>
    </row>
    <row r="7" spans="1:16" s="294" customFormat="1" ht="15" customHeight="1">
      <c r="A7" s="293"/>
      <c r="B7" s="293">
        <v>12</v>
      </c>
      <c r="C7" s="293"/>
      <c r="D7" s="293" t="s">
        <v>165</v>
      </c>
      <c r="E7" s="293"/>
      <c r="F7" s="293"/>
      <c r="G7" s="293"/>
      <c r="H7" s="293"/>
      <c r="I7" s="293"/>
      <c r="J7" s="293"/>
      <c r="K7" s="293"/>
      <c r="L7" s="293"/>
      <c r="M7" s="293"/>
      <c r="N7" s="293"/>
      <c r="O7" s="293"/>
      <c r="P7" s="293"/>
    </row>
    <row r="8" spans="1:16" s="294" customFormat="1" ht="15" customHeight="1">
      <c r="A8" s="293"/>
      <c r="B8" s="293">
        <v>0</v>
      </c>
      <c r="C8" s="293"/>
      <c r="D8" s="293" t="s">
        <v>164</v>
      </c>
      <c r="E8" s="293"/>
      <c r="F8" s="293"/>
      <c r="G8" s="293"/>
      <c r="H8" s="293"/>
      <c r="I8" s="293"/>
      <c r="J8" s="293"/>
      <c r="K8" s="293"/>
      <c r="L8" s="293"/>
      <c r="M8" s="293"/>
      <c r="N8" s="293"/>
      <c r="O8" s="293"/>
      <c r="P8" s="293"/>
    </row>
    <row r="9" spans="1:16" s="294" customFormat="1" ht="15" customHeight="1">
      <c r="A9" s="293"/>
      <c r="B9" s="603">
        <v>121</v>
      </c>
      <c r="C9" s="293"/>
      <c r="D9" s="293" t="s">
        <v>163</v>
      </c>
      <c r="E9" s="293"/>
      <c r="F9" s="293"/>
      <c r="G9" s="293"/>
      <c r="H9" s="293"/>
      <c r="I9" s="293"/>
      <c r="J9" s="293"/>
      <c r="K9" s="293"/>
      <c r="L9" s="293"/>
      <c r="M9" s="293"/>
      <c r="N9" s="293"/>
      <c r="O9" s="293"/>
      <c r="P9" s="293"/>
    </row>
    <row r="10" spans="1:16" s="294" customFormat="1" ht="15" customHeight="1">
      <c r="A10" s="293"/>
      <c r="B10" s="603">
        <v>122</v>
      </c>
      <c r="C10" s="293"/>
      <c r="D10" s="293" t="s">
        <v>160</v>
      </c>
      <c r="E10" s="293"/>
      <c r="F10" s="293"/>
      <c r="G10" s="293"/>
      <c r="H10" s="293"/>
      <c r="I10" s="293"/>
      <c r="J10" s="293"/>
      <c r="K10" s="295"/>
      <c r="L10" s="296" t="s">
        <v>159</v>
      </c>
      <c r="M10" s="295"/>
      <c r="N10" s="296" t="s">
        <v>158</v>
      </c>
      <c r="O10" s="295"/>
      <c r="P10" s="293"/>
    </row>
    <row r="11" spans="1:16" s="294" customFormat="1" ht="15" customHeight="1">
      <c r="A11" s="295"/>
      <c r="B11" s="293"/>
      <c r="C11" s="293"/>
      <c r="D11" s="293"/>
      <c r="E11" s="293"/>
      <c r="F11" s="293"/>
      <c r="G11" s="293"/>
      <c r="H11" s="293"/>
      <c r="I11" s="293"/>
      <c r="J11" s="296" t="s">
        <v>856</v>
      </c>
      <c r="K11" s="295"/>
      <c r="L11" s="296" t="s">
        <v>152</v>
      </c>
      <c r="M11" s="295"/>
      <c r="N11" s="296" t="s">
        <v>152</v>
      </c>
      <c r="O11" s="295"/>
      <c r="P11" s="293"/>
    </row>
    <row r="12" spans="1:16" s="294" customFormat="1" ht="15" customHeight="1">
      <c r="A12" s="295"/>
      <c r="B12" s="295"/>
      <c r="C12" s="295"/>
      <c r="D12" s="295"/>
      <c r="E12" s="295"/>
      <c r="F12" s="296" t="s">
        <v>147</v>
      </c>
      <c r="G12" s="295"/>
      <c r="H12" s="296" t="s">
        <v>145</v>
      </c>
      <c r="I12" s="295"/>
      <c r="J12" s="296" t="s">
        <v>145</v>
      </c>
      <c r="K12" s="295"/>
      <c r="L12" s="296" t="s">
        <v>40</v>
      </c>
      <c r="M12" s="295"/>
      <c r="N12" s="296" t="s">
        <v>40</v>
      </c>
      <c r="O12" s="295"/>
      <c r="P12" s="296" t="s">
        <v>1264</v>
      </c>
    </row>
    <row r="13" spans="1:16" s="294" customFormat="1" ht="15" customHeight="1">
      <c r="A13" s="297" t="s">
        <v>143</v>
      </c>
      <c r="B13" s="298" t="s">
        <v>140</v>
      </c>
      <c r="C13" s="295"/>
      <c r="D13" s="298" t="s">
        <v>138</v>
      </c>
      <c r="E13" s="295"/>
      <c r="F13" s="298" t="s">
        <v>40</v>
      </c>
      <c r="G13" s="295"/>
      <c r="H13" s="298" t="s">
        <v>40</v>
      </c>
      <c r="I13" s="295"/>
      <c r="J13" s="298" t="s">
        <v>40</v>
      </c>
      <c r="K13" s="295"/>
      <c r="L13" s="299">
        <v>44927</v>
      </c>
      <c r="M13" s="300"/>
      <c r="N13" s="301">
        <v>45291</v>
      </c>
      <c r="O13" s="300"/>
      <c r="P13" s="298" t="s">
        <v>1265</v>
      </c>
    </row>
    <row r="14" spans="1:16" s="294" customFormat="1" ht="15" customHeight="1">
      <c r="A14" s="297"/>
      <c r="B14" s="298"/>
      <c r="C14" s="295"/>
      <c r="D14" s="298"/>
      <c r="E14" s="295"/>
      <c r="F14" s="298"/>
      <c r="G14" s="295"/>
      <c r="H14" s="298"/>
      <c r="I14" s="295"/>
      <c r="J14" s="298"/>
      <c r="K14" s="295"/>
      <c r="L14" s="299"/>
      <c r="M14" s="300"/>
      <c r="N14" s="301"/>
      <c r="O14" s="300"/>
      <c r="P14" s="298"/>
    </row>
    <row r="15" spans="1:16" s="294" customFormat="1" ht="15" customHeight="1">
      <c r="A15" s="293" t="s">
        <v>1095</v>
      </c>
      <c r="B15" s="302">
        <f>+'WP-1, pg 2 - Depreciation'!L127</f>
        <v>3047535.7800000003</v>
      </c>
      <c r="C15" s="303"/>
      <c r="D15" s="302">
        <f>+'WP-1, pg 2 - Depreciation'!N127</f>
        <v>3047535.7800000003</v>
      </c>
      <c r="E15" s="303"/>
      <c r="F15" s="302">
        <f>+'WP-1, pg 2 - Depreciation'!O127</f>
        <v>25487.852928571421</v>
      </c>
      <c r="G15" s="303"/>
      <c r="H15" s="302">
        <f>+'WP-1, pg 2 - Depreciation'!P127+'WP-1, pg 2 - Depreciation'!Q127</f>
        <v>139129.80466666669</v>
      </c>
      <c r="I15" s="303"/>
      <c r="J15" s="302">
        <f>+'WP-1, pg 2 - Depreciation'!T127</f>
        <v>77066.918057588249</v>
      </c>
      <c r="K15" s="303"/>
      <c r="L15" s="302">
        <f>+'WP-1, pg 2 - Depreciation'!V127</f>
        <v>1293166.4518473221</v>
      </c>
      <c r="M15" s="303"/>
      <c r="N15" s="302">
        <f>+'WP-1, pg 2 - Depreciation'!Y127</f>
        <v>1370233.3699049104</v>
      </c>
      <c r="O15" s="303"/>
      <c r="P15" s="302">
        <f>+'WP-1, pg 2 - Depreciation'!Z127</f>
        <v>300055.40666275646</v>
      </c>
    </row>
    <row r="16" spans="1:16" s="294" customFormat="1" ht="15" customHeight="1">
      <c r="A16" s="293" t="s">
        <v>1175</v>
      </c>
      <c r="B16" s="303">
        <f>+'WP-1, pg 2 - Depreciation'!L152</f>
        <v>3682739.8600000003</v>
      </c>
      <c r="C16" s="303"/>
      <c r="D16" s="303">
        <f>+'WP-1, pg 2 - Depreciation'!N152</f>
        <v>3682739.8600000003</v>
      </c>
      <c r="E16" s="303"/>
      <c r="F16" s="303">
        <f>+'WP-1, pg 2 - Depreciation'!O152</f>
        <v>17710.630441468253</v>
      </c>
      <c r="G16" s="303"/>
      <c r="H16" s="303">
        <f>+'WP-1, pg 2 - Depreciation'!P152+'WP-1, pg 2 - Depreciation'!Q152</f>
        <v>93489.97636111101</v>
      </c>
      <c r="I16" s="303"/>
      <c r="J16" s="303">
        <f>+'WP-1, pg 2 - Depreciation'!T152</f>
        <v>38839.544650531316</v>
      </c>
      <c r="K16" s="303"/>
      <c r="L16" s="303">
        <f>+'WP-1, pg 2 - Depreciation'!V152</f>
        <v>432015.96699846425</v>
      </c>
      <c r="M16" s="303"/>
      <c r="N16" s="303">
        <f>+'WP-1, pg 2 - Depreciation'!Y152</f>
        <v>470855.51164899545</v>
      </c>
      <c r="O16" s="303"/>
      <c r="P16" s="303">
        <f>+'WP-1, pg 2 - Depreciation'!Z152</f>
        <v>1067376.3379131351</v>
      </c>
    </row>
    <row r="17" spans="1:16" s="294" customFormat="1" ht="15" customHeight="1">
      <c r="A17" s="293" t="s">
        <v>1183</v>
      </c>
      <c r="B17" s="303">
        <f>+'WP-1, pg 2 - Depreciation'!L165</f>
        <v>35410</v>
      </c>
      <c r="C17" s="303"/>
      <c r="D17" s="303">
        <f>+'WP-1, pg 2 - Depreciation'!N165</f>
        <v>35410</v>
      </c>
      <c r="E17" s="303"/>
      <c r="F17" s="303">
        <f>+'WP-1, pg 2 - Depreciation'!O165</f>
        <v>421.54761904761904</v>
      </c>
      <c r="G17" s="303"/>
      <c r="H17" s="303">
        <f>+'WP-1, pg 2 - Depreciation'!P165+'WP-1, pg 2 - Depreciation'!Q165</f>
        <v>0</v>
      </c>
      <c r="I17" s="303"/>
      <c r="J17" s="303">
        <f>+'WP-1, pg 2 - Depreciation'!T165</f>
        <v>0</v>
      </c>
      <c r="K17" s="303"/>
      <c r="L17" s="303">
        <f>+'WP-1, pg 2 - Depreciation'!V165</f>
        <v>19614.341980550562</v>
      </c>
      <c r="M17" s="303"/>
      <c r="N17" s="303">
        <f>+'WP-1, pg 2 - Depreciation'!Y165</f>
        <v>19614.341980550562</v>
      </c>
      <c r="O17" s="303"/>
      <c r="P17" s="303">
        <f>+'WP-1, pg 2 - Depreciation'!Z165</f>
        <v>0</v>
      </c>
    </row>
    <row r="18" spans="1:16" s="294" customFormat="1" ht="15" customHeight="1">
      <c r="A18" s="293" t="s">
        <v>1191</v>
      </c>
      <c r="B18" s="303">
        <f>+'WP-1, pg 2 - Depreciation'!L183</f>
        <v>616593.68999999994</v>
      </c>
      <c r="C18" s="303"/>
      <c r="D18" s="303">
        <f>+'WP-1, pg 2 - Depreciation'!N183</f>
        <v>616593.68999999994</v>
      </c>
      <c r="E18" s="303"/>
      <c r="F18" s="303">
        <f>+'WP-1, pg 2 - Depreciation'!O183</f>
        <v>9541.8329285714281</v>
      </c>
      <c r="G18" s="303"/>
      <c r="H18" s="303">
        <f>+'WP-1, pg 2 - Depreciation'!P183+'WP-1, pg 2 - Depreciation'!Q183</f>
        <v>109.66049999999376</v>
      </c>
      <c r="I18" s="303"/>
      <c r="J18" s="303">
        <f>+'WP-1, pg 2 - Depreciation'!T183</f>
        <v>60.743251871167523</v>
      </c>
      <c r="K18" s="303"/>
      <c r="L18" s="303">
        <f>+'WP-1, pg 2 - Depreciation'!V183</f>
        <v>217426.7921760148</v>
      </c>
      <c r="M18" s="303"/>
      <c r="N18" s="303">
        <f>+'WP-1, pg 2 - Depreciation'!Y183</f>
        <v>217487.53542788597</v>
      </c>
      <c r="O18" s="303"/>
      <c r="P18" s="303">
        <f>+'WP-1, pg 2 - Depreciation'!Z183</f>
        <v>3583.8518603990915</v>
      </c>
    </row>
    <row r="19" spans="1:16" s="294" customFormat="1" ht="15" customHeight="1">
      <c r="A19" s="293" t="s">
        <v>1199</v>
      </c>
      <c r="B19" s="303">
        <f>+'WP-1, pg 2 - Depreciation'!L217</f>
        <v>903063.27999999991</v>
      </c>
      <c r="C19" s="303"/>
      <c r="D19" s="303">
        <f>+'WP-1, pg 2 - Depreciation'!N217</f>
        <v>903063.27999999991</v>
      </c>
      <c r="E19" s="303"/>
      <c r="F19" s="303">
        <f>+'WP-1, pg 2 - Depreciation'!O217</f>
        <v>11365.034476190478</v>
      </c>
      <c r="G19" s="303"/>
      <c r="H19" s="303">
        <f>+'WP-1, pg 2 - Depreciation'!P217+'WP-1, pg 2 - Depreciation'!Q217</f>
        <v>66231.187047619052</v>
      </c>
      <c r="I19" s="303"/>
      <c r="J19" s="303">
        <f>+'WP-1, pg 2 - Depreciation'!T217</f>
        <v>33163.734150380064</v>
      </c>
      <c r="K19" s="303"/>
      <c r="L19" s="303">
        <f>+'WP-1, pg 2 - Depreciation'!V217</f>
        <v>308231.19702165149</v>
      </c>
      <c r="M19" s="303"/>
      <c r="N19" s="303">
        <f>+'WP-1, pg 2 - Depreciation'!Y217</f>
        <v>341394.93117203156</v>
      </c>
      <c r="O19" s="303"/>
      <c r="P19" s="303">
        <f>+'WP-1, pg 2 - Depreciation'!Z217</f>
        <v>128620.11683747919</v>
      </c>
    </row>
    <row r="20" spans="1:16" s="294" customFormat="1" ht="15" customHeight="1">
      <c r="A20" s="293" t="s">
        <v>1216</v>
      </c>
      <c r="B20" s="303">
        <f>+'WP-1, pg 2 - Depreciation'!L257</f>
        <v>1602086.74</v>
      </c>
      <c r="C20" s="303"/>
      <c r="D20" s="303">
        <f>+'WP-1, pg 2 - Depreciation'!N257</f>
        <v>1602086.74</v>
      </c>
      <c r="E20" s="303"/>
      <c r="F20" s="303">
        <f>+'WP-1, pg 2 - Depreciation'!O257</f>
        <v>6172.8767070778704</v>
      </c>
      <c r="G20" s="303"/>
      <c r="H20" s="303">
        <f>+'WP-1, pg 2 - Depreciation'!P257+'WP-1, pg 2 - Depreciation'!Q257</f>
        <v>54789.387151601099</v>
      </c>
      <c r="I20" s="303"/>
      <c r="J20" s="303">
        <f>+'WP-1, pg 2 - Depreciation'!T257</f>
        <v>30348.991146463897</v>
      </c>
      <c r="K20" s="303"/>
      <c r="L20" s="303">
        <f>+'WP-1, pg 2 - Depreciation'!V257</f>
        <v>646344.19616410404</v>
      </c>
      <c r="M20" s="303"/>
      <c r="N20" s="303">
        <f>+'WP-1, pg 2 - Depreciation'!Y257</f>
        <v>676693.18731056794</v>
      </c>
      <c r="O20" s="303"/>
      <c r="P20" s="303">
        <f>+'WP-1, pg 2 - Depreciation'!Z257</f>
        <v>210736.27331822022</v>
      </c>
    </row>
    <row r="21" spans="1:16" s="294" customFormat="1" ht="15" customHeight="1">
      <c r="A21" s="293" t="s">
        <v>1224</v>
      </c>
      <c r="B21" s="303">
        <f>+'WP-1, pg 2 - Depreciation'!L377</f>
        <v>13268162.669999996</v>
      </c>
      <c r="C21" s="303"/>
      <c r="D21" s="303">
        <f>+'WP-1, pg 2 - Depreciation'!N377</f>
        <v>13268162.669999996</v>
      </c>
      <c r="E21" s="303"/>
      <c r="F21" s="303">
        <f>+'WP-1, pg 2 - Depreciation'!O377</f>
        <v>158881.02254761895</v>
      </c>
      <c r="G21" s="303"/>
      <c r="H21" s="303">
        <f>+'WP-1, pg 2 - Depreciation'!P377+'WP-1, pg 2 - Depreciation'!Q377</f>
        <v>869190.1895476192</v>
      </c>
      <c r="I21" s="303"/>
      <c r="J21" s="303">
        <f>+'WP-1, pg 2 - Depreciation'!T377</f>
        <v>470014.52899079362</v>
      </c>
      <c r="K21" s="303"/>
      <c r="L21" s="303">
        <f>+'WP-1, pg 2 - Depreciation'!V377</f>
        <v>3726248.4713863404</v>
      </c>
      <c r="M21" s="303"/>
      <c r="N21" s="303">
        <f>+'WP-1, pg 2 - Depreciation'!Y377</f>
        <v>4155974.0600227071</v>
      </c>
      <c r="O21" s="303"/>
      <c r="P21" s="303">
        <f>+'WP-1, pg 2 - Depreciation'!Z377</f>
        <v>1356569.2543690945</v>
      </c>
    </row>
    <row r="22" spans="1:16" s="294" customFormat="1" ht="15" customHeight="1">
      <c r="A22" s="294" t="s">
        <v>42</v>
      </c>
      <c r="B22" s="304">
        <f>+'WP-1, pg 2 - Depreciation'!L388</f>
        <v>396424.59</v>
      </c>
      <c r="C22" s="303"/>
      <c r="D22" s="304">
        <f>+'WP-1, pg 2 - Depreciation'!N388</f>
        <v>44182.590000000004</v>
      </c>
      <c r="E22" s="303"/>
      <c r="F22" s="304">
        <f>+'WP-1, pg 2 - Depreciation'!O388</f>
        <v>549.91169047619053</v>
      </c>
      <c r="G22" s="303"/>
      <c r="H22" s="304">
        <f>+'WP-1, pg 2 - Depreciation'!P388+'WP-1, pg 2 - Depreciation'!Q388</f>
        <v>6474.9217857142858</v>
      </c>
      <c r="I22" s="303"/>
      <c r="J22" s="304">
        <f>+'WP-1, pg 2 - Depreciation'!T388</f>
        <v>3586.5950353661992</v>
      </c>
      <c r="K22" s="303"/>
      <c r="L22" s="304">
        <f>+'WP-1, pg 2 - Depreciation'!V388</f>
        <v>12872.864286356478</v>
      </c>
      <c r="M22" s="303"/>
      <c r="N22" s="304">
        <f>+'WP-1, pg 2 - Depreciation'!Y388</f>
        <v>16459.459321722679</v>
      </c>
      <c r="O22" s="303"/>
      <c r="P22" s="304">
        <f>+'WP-1, pg 2 - Depreciation'!Z388</f>
        <v>8014.2043282760014</v>
      </c>
    </row>
    <row r="23" spans="1:16" s="294" customFormat="1" ht="15" customHeight="1">
      <c r="A23" s="293"/>
      <c r="B23" s="303"/>
      <c r="C23" s="303"/>
      <c r="D23" s="303"/>
      <c r="E23" s="303"/>
      <c r="F23" s="303"/>
      <c r="G23" s="303"/>
      <c r="H23" s="303"/>
      <c r="I23" s="303"/>
      <c r="J23" s="303"/>
      <c r="K23" s="303"/>
      <c r="L23" s="303"/>
      <c r="M23" s="303"/>
      <c r="N23" s="303"/>
      <c r="O23" s="303"/>
      <c r="P23" s="303"/>
    </row>
    <row r="24" spans="1:16" s="294" customFormat="1" ht="15" customHeight="1" thickBot="1">
      <c r="A24" s="293"/>
      <c r="B24" s="305">
        <f>SUM(B15:B22)</f>
        <v>23552016.609999996</v>
      </c>
      <c r="C24" s="303"/>
      <c r="D24" s="305">
        <f>SUM(D15:D22)</f>
        <v>23199774.609999996</v>
      </c>
      <c r="E24" s="303"/>
      <c r="F24" s="305">
        <f>SUM(F15:F22)</f>
        <v>230130.70933902223</v>
      </c>
      <c r="G24" s="303"/>
      <c r="H24" s="305">
        <f>SUM(H15:H22)</f>
        <v>1229415.1270603314</v>
      </c>
      <c r="I24" s="303"/>
      <c r="J24" s="305">
        <f>SUM(J15:J22)</f>
        <v>653081.05528299464</v>
      </c>
      <c r="K24" s="303"/>
      <c r="L24" s="305">
        <f>SUM(L15:L22)</f>
        <v>6655920.2818608042</v>
      </c>
      <c r="M24" s="303"/>
      <c r="N24" s="305">
        <f>SUM(N15:N22)</f>
        <v>7268712.396789372</v>
      </c>
      <c r="O24" s="303"/>
      <c r="P24" s="305">
        <f>SUM(P15:P22)</f>
        <v>3074955.4452893608</v>
      </c>
    </row>
    <row r="25" spans="1:16" s="294" customFormat="1" ht="15" customHeight="1" thickTop="1">
      <c r="A25" s="293"/>
      <c r="B25" s="303"/>
      <c r="C25" s="303"/>
      <c r="D25" s="303"/>
      <c r="E25" s="303"/>
      <c r="F25" s="303"/>
      <c r="G25" s="303"/>
      <c r="H25" s="303"/>
      <c r="I25" s="303"/>
      <c r="J25" s="303"/>
      <c r="K25" s="303"/>
      <c r="L25" s="303"/>
      <c r="M25" s="303"/>
      <c r="N25" s="303"/>
      <c r="O25" s="303"/>
      <c r="P25" s="303"/>
    </row>
    <row r="26" spans="1:16" s="294" customFormat="1" ht="15" customHeight="1">
      <c r="B26" s="579">
        <f>+'WP-1, pg 2 - Depreciation'!L325+'WP-1, pg 2 - Depreciation'!L329</f>
        <v>359391.99</v>
      </c>
      <c r="G26" s="306"/>
      <c r="H26" s="597">
        <f>+'Sch 4 - 12 Months'!S68+'Sch 4 - 12 Months'!S66</f>
        <v>1187779.1099999999</v>
      </c>
      <c r="I26" s="604" t="s">
        <v>112</v>
      </c>
      <c r="K26" s="306"/>
      <c r="L26" s="306"/>
      <c r="M26" s="306"/>
      <c r="N26" s="306"/>
      <c r="O26" s="306"/>
      <c r="P26" s="306"/>
    </row>
    <row r="27" spans="1:16" s="294" customFormat="1" ht="15" customHeight="1">
      <c r="B27" s="579">
        <f>+B24-B26</f>
        <v>23192624.619999997</v>
      </c>
      <c r="H27" s="307">
        <f>+H24-H26</f>
        <v>41636.017060331535</v>
      </c>
      <c r="I27" s="604" t="s">
        <v>883</v>
      </c>
      <c r="L27" s="307"/>
    </row>
    <row r="28" spans="1:16" s="294" customFormat="1" ht="15" customHeight="1">
      <c r="B28" s="579"/>
    </row>
    <row r="29" spans="1:16" s="294" customFormat="1" ht="15" customHeight="1">
      <c r="B29" s="579"/>
      <c r="H29" s="307">
        <f>+J24</f>
        <v>653081.05528299464</v>
      </c>
      <c r="I29" s="294" t="s">
        <v>885</v>
      </c>
    </row>
    <row r="30" spans="1:16" s="294" customFormat="1" ht="15" customHeight="1">
      <c r="B30" s="579"/>
      <c r="H30" s="605">
        <f>+H24</f>
        <v>1229415.1270603314</v>
      </c>
      <c r="I30" s="294" t="s">
        <v>886</v>
      </c>
    </row>
    <row r="31" spans="1:16" s="294" customFormat="1" ht="15" customHeight="1">
      <c r="B31" s="579"/>
      <c r="H31" s="307">
        <f>+H29-H30</f>
        <v>-576334.07177733677</v>
      </c>
      <c r="I31" s="294" t="s">
        <v>884</v>
      </c>
    </row>
    <row r="32" spans="1:16" s="294" customFormat="1" ht="15" customHeight="1">
      <c r="B32" s="579"/>
    </row>
    <row r="33" spans="2:2" s="294" customFormat="1" ht="15" customHeight="1">
      <c r="B33" s="307"/>
    </row>
    <row r="34" spans="2:2" s="294" customFormat="1" ht="15" customHeight="1"/>
    <row r="35" spans="2:2" s="294" customFormat="1" ht="15" customHeight="1"/>
    <row r="36" spans="2:2" s="294" customFormat="1" ht="15" customHeight="1">
      <c r="B36" s="307"/>
    </row>
    <row r="37" spans="2:2" s="294" customFormat="1" ht="15" customHeight="1"/>
    <row r="38" spans="2:2" s="294" customFormat="1" ht="15" customHeight="1"/>
    <row r="39" spans="2:2" s="294" customFormat="1" ht="15" customHeight="1"/>
    <row r="40" spans="2:2" s="294" customFormat="1" ht="15" customHeight="1"/>
    <row r="41" spans="2:2" s="294" customFormat="1" ht="15" customHeight="1"/>
    <row r="42" spans="2:2" s="294" customFormat="1" ht="15" customHeight="1"/>
    <row r="43" spans="2:2" s="294" customFormat="1" ht="15" customHeight="1"/>
    <row r="44" spans="2:2" s="294" customFormat="1" ht="15" customHeight="1"/>
    <row r="45" spans="2:2" s="294" customFormat="1" ht="15" customHeight="1"/>
    <row r="46" spans="2:2" s="294" customFormat="1" ht="15" customHeight="1"/>
    <row r="47" spans="2:2" s="294" customFormat="1" ht="15" customHeight="1"/>
    <row r="48" spans="2:2" s="294" customFormat="1" ht="15" customHeight="1"/>
    <row r="49" s="294" customFormat="1" ht="15" customHeight="1"/>
    <row r="50" s="294" customFormat="1" ht="15" customHeight="1"/>
    <row r="51" s="294" customFormat="1" ht="15" customHeight="1"/>
    <row r="52" s="294" customFormat="1" ht="15" customHeight="1"/>
    <row r="53" s="294" customFormat="1" ht="15" customHeight="1"/>
    <row r="54" s="294" customFormat="1" ht="15" customHeight="1"/>
    <row r="55" s="294" customFormat="1" ht="15" customHeight="1"/>
    <row r="56" s="294" customFormat="1" ht="15" customHeight="1"/>
    <row r="57" s="294" customFormat="1" ht="15" customHeight="1"/>
    <row r="58" s="294" customFormat="1" ht="15" customHeight="1"/>
  </sheetData>
  <mergeCells count="3">
    <mergeCell ref="A1:P1"/>
    <mergeCell ref="A3:P3"/>
    <mergeCell ref="A5:P5"/>
  </mergeCells>
  <printOptions horizontalCentered="1"/>
  <pageMargins left="0.25" right="0.25" top="0.75" bottom="0.5" header="0" footer="0.25"/>
  <pageSetup scale="72" orientation="landscape" horizontalDpi="300" verticalDpi="300" r:id="rId1"/>
  <headerFooter scaleWithDoc="0"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05FD-CADA-409D-8B70-778908809E5D}">
  <dimension ref="A1:BE1056"/>
  <sheetViews>
    <sheetView view="pageBreakPreview" zoomScale="60" zoomScaleNormal="85" workbookViewId="0">
      <pane ySplit="14" topLeftCell="A15" activePane="bottomLeft" state="frozen"/>
      <selection pane="bottomLeft"/>
    </sheetView>
  </sheetViews>
  <sheetFormatPr defaultColWidth="8.88671875" defaultRowHeight="15.75"/>
  <cols>
    <col min="1" max="1" width="7.5546875" style="289" customWidth="1"/>
    <col min="2" max="2" width="44.44140625" style="289" customWidth="1"/>
    <col min="3" max="3" width="12.88671875" style="289" customWidth="1"/>
    <col min="4" max="4" width="7.109375" style="289" bestFit="1" customWidth="1"/>
    <col min="5" max="5" width="4" style="289" bestFit="1" customWidth="1"/>
    <col min="6" max="6" width="7.109375" style="289" bestFit="1" customWidth="1"/>
    <col min="7" max="7" width="5.109375" style="289" bestFit="1" customWidth="1"/>
    <col min="8" max="8" width="6" style="289" customWidth="1"/>
    <col min="9" max="9" width="5.88671875" style="289" bestFit="1" customWidth="1"/>
    <col min="10" max="10" width="5.44140625" style="289" bestFit="1" customWidth="1"/>
    <col min="11" max="11" width="3.88671875" style="289" bestFit="1" customWidth="1"/>
    <col min="12" max="12" width="16.88671875" style="289" bestFit="1" customWidth="1"/>
    <col min="13" max="13" width="7" style="289" bestFit="1" customWidth="1"/>
    <col min="14" max="14" width="16.88671875" style="289" bestFit="1" customWidth="1"/>
    <col min="15" max="16" width="15" style="289" bestFit="1" customWidth="1"/>
    <col min="17" max="17" width="11.44140625" style="289" customWidth="1"/>
    <col min="18" max="18" width="15" style="289" bestFit="1" customWidth="1"/>
    <col min="19" max="19" width="11" style="289" bestFit="1" customWidth="1"/>
    <col min="20" max="20" width="15" style="289" bestFit="1" customWidth="1"/>
    <col min="21" max="22" width="16.88671875" style="289" bestFit="1" customWidth="1"/>
    <col min="23" max="23" width="9.109375" style="289" bestFit="1" customWidth="1"/>
    <col min="24" max="26" width="16.88671875" style="289" bestFit="1" customWidth="1"/>
    <col min="27" max="28" width="9.109375" style="289" bestFit="1" customWidth="1"/>
    <col min="29" max="29" width="10.6640625" style="289" customWidth="1"/>
    <col min="30" max="30" width="9.109375" style="289" bestFit="1" customWidth="1"/>
    <col min="31" max="31" width="11" style="289" bestFit="1" customWidth="1"/>
    <col min="32" max="32" width="15.33203125" style="289" bestFit="1" customWidth="1"/>
    <col min="33" max="16384" width="8.88671875" style="289"/>
  </cols>
  <sheetData>
    <row r="1" spans="2:57">
      <c r="B1" s="952" t="str">
        <f>+'WP-1 - Summary Depr'!A1</f>
        <v>Consolidated Disposal Services, Inc.</v>
      </c>
      <c r="C1" s="952"/>
      <c r="D1" s="952"/>
      <c r="E1" s="952"/>
      <c r="F1" s="952"/>
      <c r="G1" s="952"/>
      <c r="H1" s="952"/>
      <c r="I1" s="952"/>
      <c r="J1" s="952"/>
      <c r="K1" s="952"/>
      <c r="L1" s="952"/>
      <c r="M1" s="952"/>
      <c r="N1" s="952"/>
      <c r="O1" s="952"/>
      <c r="P1" s="952"/>
      <c r="Q1" s="952"/>
      <c r="R1" s="952"/>
      <c r="S1" s="952"/>
      <c r="T1" s="952"/>
      <c r="U1" s="952"/>
      <c r="V1" s="952"/>
      <c r="W1" s="952"/>
      <c r="X1" s="952"/>
      <c r="Y1" s="952"/>
      <c r="Z1" s="952"/>
    </row>
    <row r="2" spans="2:57" ht="9.75" customHeight="1">
      <c r="B2" s="290"/>
      <c r="C2" s="290"/>
    </row>
    <row r="3" spans="2:57">
      <c r="B3" s="952" t="s">
        <v>209</v>
      </c>
      <c r="C3" s="952"/>
      <c r="D3" s="952"/>
      <c r="E3" s="952"/>
      <c r="F3" s="952"/>
      <c r="G3" s="952"/>
      <c r="H3" s="952"/>
      <c r="I3" s="952"/>
      <c r="J3" s="952"/>
      <c r="K3" s="952"/>
      <c r="L3" s="952"/>
      <c r="M3" s="952"/>
      <c r="N3" s="952"/>
      <c r="O3" s="952"/>
      <c r="P3" s="952"/>
      <c r="Q3" s="952"/>
      <c r="R3" s="952"/>
      <c r="S3" s="952"/>
      <c r="T3" s="952"/>
      <c r="U3" s="952"/>
      <c r="V3" s="952"/>
      <c r="W3" s="952"/>
      <c r="X3" s="952"/>
      <c r="Y3" s="952"/>
      <c r="Z3" s="952"/>
    </row>
    <row r="4" spans="2:57">
      <c r="C4" s="292"/>
      <c r="D4" s="292"/>
      <c r="E4" s="292"/>
      <c r="F4" s="292"/>
      <c r="G4" s="292"/>
      <c r="H4" s="292"/>
      <c r="I4" s="292"/>
      <c r="J4" s="292"/>
      <c r="K4" s="292"/>
      <c r="L4" s="292"/>
      <c r="M4" s="292"/>
      <c r="N4" s="280"/>
      <c r="O4" s="292"/>
      <c r="P4" s="292"/>
      <c r="Q4" s="292"/>
      <c r="R4" s="292"/>
      <c r="S4" s="292"/>
      <c r="T4" s="292"/>
      <c r="U4" s="292"/>
      <c r="V4" s="292"/>
      <c r="W4" s="292"/>
      <c r="X4" s="292"/>
      <c r="Y4" s="292"/>
      <c r="Z4" s="292"/>
    </row>
    <row r="5" spans="2:57">
      <c r="B5" s="952" t="str">
        <f>+'WP-1 - Summary Depr'!A5</f>
        <v>In Support of Tariff 8 effective April 1, 2025</v>
      </c>
      <c r="C5" s="953"/>
      <c r="D5" s="953"/>
      <c r="E5" s="953"/>
      <c r="F5" s="953"/>
      <c r="G5" s="953"/>
      <c r="H5" s="953"/>
      <c r="I5" s="953"/>
      <c r="J5" s="953"/>
      <c r="K5" s="953"/>
      <c r="L5" s="953"/>
      <c r="M5" s="953"/>
      <c r="N5" s="953"/>
      <c r="O5" s="953"/>
      <c r="P5" s="953"/>
      <c r="Q5" s="953"/>
      <c r="R5" s="953"/>
      <c r="S5" s="953"/>
      <c r="T5" s="953"/>
      <c r="U5" s="953"/>
      <c r="V5" s="953"/>
      <c r="W5" s="953"/>
      <c r="X5" s="953"/>
      <c r="Y5" s="953"/>
      <c r="Z5" s="953"/>
    </row>
    <row r="6" spans="2:57">
      <c r="B6" s="342"/>
      <c r="C6" s="342"/>
    </row>
    <row r="7" spans="2:57">
      <c r="B7" s="289">
        <v>12</v>
      </c>
      <c r="C7" s="289" t="s">
        <v>165</v>
      </c>
      <c r="Z7" s="350"/>
      <c r="AB7" s="647" t="s">
        <v>135</v>
      </c>
      <c r="AC7" s="648" t="s">
        <v>168</v>
      </c>
      <c r="AD7" s="649"/>
    </row>
    <row r="8" spans="2:57">
      <c r="B8" s="289">
        <v>0</v>
      </c>
      <c r="C8" s="289" t="s">
        <v>164</v>
      </c>
      <c r="L8" s="292"/>
      <c r="N8" s="343"/>
      <c r="AB8" s="650" t="s">
        <v>167</v>
      </c>
      <c r="AC8" s="289" t="s">
        <v>166</v>
      </c>
      <c r="AD8" s="651"/>
    </row>
    <row r="9" spans="2:57">
      <c r="B9" s="289">
        <v>123</v>
      </c>
      <c r="C9" s="289" t="s">
        <v>163</v>
      </c>
      <c r="L9" s="292"/>
      <c r="N9" s="343"/>
      <c r="Z9" s="350"/>
      <c r="AB9" s="650" t="s">
        <v>162</v>
      </c>
      <c r="AC9" s="289" t="s">
        <v>161</v>
      </c>
      <c r="AD9" s="651"/>
    </row>
    <row r="10" spans="2:57">
      <c r="B10" s="289">
        <v>124</v>
      </c>
      <c r="C10" s="289" t="s">
        <v>160</v>
      </c>
      <c r="AB10" s="650" t="s">
        <v>133</v>
      </c>
      <c r="AC10" s="289" t="s">
        <v>176</v>
      </c>
      <c r="AD10" s="651"/>
    </row>
    <row r="11" spans="2:57">
      <c r="B11" s="575"/>
      <c r="T11" s="344" t="s">
        <v>0</v>
      </c>
      <c r="U11" s="344" t="s">
        <v>159</v>
      </c>
      <c r="V11" s="344" t="s">
        <v>856</v>
      </c>
      <c r="X11" s="344" t="s">
        <v>856</v>
      </c>
      <c r="Y11" s="344" t="s">
        <v>856</v>
      </c>
      <c r="AB11" s="652" t="s">
        <v>132</v>
      </c>
      <c r="AC11" s="653" t="s">
        <v>157</v>
      </c>
      <c r="AD11" s="654"/>
    </row>
    <row r="12" spans="2:57">
      <c r="B12" s="867" t="s">
        <v>401</v>
      </c>
      <c r="C12" s="344" t="s">
        <v>156</v>
      </c>
      <c r="D12" s="344" t="s">
        <v>156</v>
      </c>
      <c r="F12" s="344" t="s">
        <v>155</v>
      </c>
      <c r="I12" s="344" t="s">
        <v>146</v>
      </c>
      <c r="J12" s="344" t="s">
        <v>148</v>
      </c>
      <c r="Q12" s="344" t="s">
        <v>139</v>
      </c>
      <c r="R12" s="344" t="s">
        <v>0</v>
      </c>
      <c r="T12" s="344" t="s">
        <v>856</v>
      </c>
      <c r="U12" s="344" t="s">
        <v>152</v>
      </c>
      <c r="V12" s="344" t="s">
        <v>152</v>
      </c>
      <c r="W12" s="344" t="s">
        <v>154</v>
      </c>
      <c r="X12" s="344" t="s">
        <v>153</v>
      </c>
      <c r="Y12" s="344" t="s">
        <v>153</v>
      </c>
    </row>
    <row r="13" spans="2:57">
      <c r="B13" s="849" t="s">
        <v>1267</v>
      </c>
      <c r="C13" s="344" t="s">
        <v>39</v>
      </c>
      <c r="D13" s="344" t="s">
        <v>39</v>
      </c>
      <c r="F13" s="344" t="s">
        <v>151</v>
      </c>
      <c r="G13" s="344"/>
      <c r="H13" s="344"/>
      <c r="I13" s="344" t="s">
        <v>149</v>
      </c>
      <c r="J13" s="344" t="s">
        <v>139</v>
      </c>
      <c r="L13" s="344" t="s">
        <v>148</v>
      </c>
      <c r="M13" s="344" t="s">
        <v>148</v>
      </c>
      <c r="N13" s="344" t="s">
        <v>175</v>
      </c>
      <c r="O13" s="344" t="s">
        <v>174</v>
      </c>
      <c r="P13" s="344" t="s">
        <v>144</v>
      </c>
      <c r="Q13" s="344" t="s">
        <v>146</v>
      </c>
      <c r="R13" s="344" t="s">
        <v>173</v>
      </c>
      <c r="S13" s="344" t="s">
        <v>37</v>
      </c>
      <c r="T13" s="344" t="s">
        <v>144</v>
      </c>
      <c r="U13" s="344" t="s">
        <v>40</v>
      </c>
      <c r="V13" s="344" t="s">
        <v>40</v>
      </c>
      <c r="W13" s="344" t="s">
        <v>137</v>
      </c>
      <c r="X13" s="344" t="s">
        <v>136</v>
      </c>
      <c r="Y13" s="344" t="s">
        <v>136</v>
      </c>
      <c r="Z13" s="344" t="s">
        <v>1266</v>
      </c>
    </row>
    <row r="14" spans="2:57">
      <c r="B14" s="345" t="s">
        <v>143</v>
      </c>
      <c r="C14" s="346" t="s">
        <v>142</v>
      </c>
      <c r="D14" s="346" t="s">
        <v>142</v>
      </c>
      <c r="E14" s="346" t="s">
        <v>141</v>
      </c>
      <c r="F14" s="346" t="s">
        <v>37</v>
      </c>
      <c r="G14" s="344" t="s">
        <v>150</v>
      </c>
      <c r="H14" s="344" t="s">
        <v>35</v>
      </c>
      <c r="I14" s="346" t="s">
        <v>136</v>
      </c>
      <c r="J14" s="346" t="s">
        <v>172</v>
      </c>
      <c r="K14" s="346" t="s">
        <v>141</v>
      </c>
      <c r="L14" s="346" t="s">
        <v>26</v>
      </c>
      <c r="M14" s="346" t="s">
        <v>139</v>
      </c>
      <c r="N14" s="346" t="s">
        <v>26</v>
      </c>
      <c r="O14" s="346" t="s">
        <v>136</v>
      </c>
      <c r="P14" s="346" t="s">
        <v>136</v>
      </c>
      <c r="Q14" s="346" t="s">
        <v>129</v>
      </c>
      <c r="R14" s="346" t="s">
        <v>171</v>
      </c>
      <c r="S14" s="346" t="s">
        <v>856</v>
      </c>
      <c r="T14" s="346" t="s">
        <v>136</v>
      </c>
      <c r="U14" s="347">
        <v>44927</v>
      </c>
      <c r="V14" s="348">
        <v>44927</v>
      </c>
      <c r="W14" s="346" t="s">
        <v>37</v>
      </c>
      <c r="X14" s="347">
        <v>44927</v>
      </c>
      <c r="Y14" s="348">
        <v>45291</v>
      </c>
      <c r="Z14" s="346" t="s">
        <v>151</v>
      </c>
      <c r="AA14" s="346" t="s">
        <v>135</v>
      </c>
      <c r="AB14" s="346" t="s">
        <v>809</v>
      </c>
      <c r="AC14" s="346" t="s">
        <v>134</v>
      </c>
      <c r="AD14" s="346" t="s">
        <v>133</v>
      </c>
      <c r="AE14" s="346" t="s">
        <v>132</v>
      </c>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row>
    <row r="15" spans="2:57">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row>
    <row r="16" spans="2:57">
      <c r="B16" s="291" t="s">
        <v>1095</v>
      </c>
      <c r="T16" s="350"/>
      <c r="U16" s="350"/>
      <c r="V16" s="350"/>
    </row>
    <row r="17" spans="2:35">
      <c r="B17" s="353" t="s">
        <v>644</v>
      </c>
      <c r="C17" s="289">
        <v>2007</v>
      </c>
      <c r="D17" s="289">
        <f t="shared" ref="D17:D32" si="0">+C17-1900</f>
        <v>107</v>
      </c>
      <c r="E17" s="289">
        <v>5</v>
      </c>
      <c r="F17" s="351">
        <v>0</v>
      </c>
      <c r="G17" s="344" t="s">
        <v>169</v>
      </c>
      <c r="H17" s="289">
        <v>10</v>
      </c>
      <c r="I17" s="289">
        <f t="shared" ref="I17:I32" si="1">D17+H17</f>
        <v>117</v>
      </c>
      <c r="L17" s="576">
        <v>174500</v>
      </c>
      <c r="M17" s="350">
        <v>0</v>
      </c>
      <c r="N17" s="350">
        <f t="shared" ref="N17:N32" si="2">L17-(+L17*F17)</f>
        <v>174500</v>
      </c>
      <c r="O17" s="350">
        <f t="shared" ref="O17:O32" si="3">N17/H17/12</f>
        <v>1454.1666666666667</v>
      </c>
      <c r="P17" s="350">
        <f t="shared" ref="P17:P32" si="4">IF(Q17&gt;0,0,IF(OR(AA17&gt;AB17,AC17&lt;AD17),0,IF(AND(AC17&gt;=AD17,AC17&lt;=AB17),O17*((AC17-AD17)*12),IF(AND(AD17&lt;=AA17,AB17&gt;=AA17),((AB17-AA17)*12)*O17,IF(AC17&gt;AB17,12*O17,0)))))</f>
        <v>0</v>
      </c>
      <c r="Q17" s="350">
        <f t="shared" ref="Q17:Q32" si="5">IF(M17=0,0,IF(AND(AE17&gt;=AD17,AE17&lt;=AC17),((AE17-AD17)*12)*O17,0))</f>
        <v>0</v>
      </c>
      <c r="R17" s="350">
        <f t="shared" ref="R17:R32" si="6">IF(Q17&gt;0,Q17,P17)</f>
        <v>0</v>
      </c>
      <c r="S17" s="352">
        <f>+'WP-11 - Non-Regulated'!$K$40</f>
        <v>0.5539209822239638</v>
      </c>
      <c r="T17" s="350">
        <f t="shared" ref="T17:T32" si="7">S17*SUM(P17:Q17)</f>
        <v>0</v>
      </c>
      <c r="U17" s="350">
        <f t="shared" ref="U17:U31" si="8">IF(AA17&gt;AB17,0,IF(AC17&lt;AD17,L17,IF(AND(AC17&gt;=AD17,AC17&lt;=AB17),(L17-R17),IF(AND(AD17&lt;=AA17,AB17&gt;=AA17),0,IF(AC17&gt;AB17,((AD17-AA17)*12)*O17,0)))))</f>
        <v>174500</v>
      </c>
      <c r="V17" s="350">
        <f t="shared" ref="V17:V32" si="9">U17*S17</f>
        <v>96659.211398081679</v>
      </c>
      <c r="W17" s="352">
        <v>1</v>
      </c>
      <c r="X17" s="350">
        <f t="shared" ref="X17:X32" si="10">V17*W17</f>
        <v>96659.211398081679</v>
      </c>
      <c r="Y17" s="350">
        <f t="shared" ref="Y17:Y32" si="11">IF(M17&gt;0,0,X17+T17*W17)*W17</f>
        <v>96659.211398081679</v>
      </c>
      <c r="Z17" s="350">
        <f>IF((N17-((AB17-AA17)*12*O17))&lt;0,0,(N17-((AB17-AA17)*12*(O17)))*S17)</f>
        <v>0</v>
      </c>
      <c r="AA17" s="350">
        <f t="shared" ref="AA17:AA36" si="12">$D17+(($E17-1)/12)</f>
        <v>107.33333333333333</v>
      </c>
      <c r="AB17" s="350">
        <f t="shared" ref="AB17:AB80" si="13">($B$10+1)-($B$7/12)</f>
        <v>124</v>
      </c>
      <c r="AC17" s="350">
        <f t="shared" ref="AC17:AC36" si="14">$I17+(($E17-1)/12)</f>
        <v>117.33333333333333</v>
      </c>
      <c r="AD17" s="350">
        <f t="shared" ref="AD17:AD80" si="15">$B$9+($B$8/12)</f>
        <v>123</v>
      </c>
      <c r="AE17" s="350">
        <f t="shared" ref="AE17:AE36" si="16">$J17+(($K17-1)/12)</f>
        <v>-8.3333333333333329E-2</v>
      </c>
      <c r="AF17" s="350">
        <f t="shared" ref="AF17:AF32" si="17">L17-((X17+Y17)/2)-Z17</f>
        <v>77840.788601918321</v>
      </c>
      <c r="AG17" s="350"/>
      <c r="AH17" s="350"/>
      <c r="AI17" s="350"/>
    </row>
    <row r="18" spans="2:35">
      <c r="B18" s="353" t="s">
        <v>645</v>
      </c>
      <c r="C18" s="289">
        <v>2008</v>
      </c>
      <c r="D18" s="289">
        <f t="shared" si="0"/>
        <v>108</v>
      </c>
      <c r="E18" s="289">
        <v>1</v>
      </c>
      <c r="F18" s="351">
        <v>0</v>
      </c>
      <c r="G18" s="344" t="s">
        <v>169</v>
      </c>
      <c r="H18" s="289">
        <v>10</v>
      </c>
      <c r="I18" s="289">
        <f t="shared" si="1"/>
        <v>118</v>
      </c>
      <c r="L18" s="576">
        <v>21664</v>
      </c>
      <c r="M18" s="350">
        <v>0</v>
      </c>
      <c r="N18" s="350">
        <f t="shared" si="2"/>
        <v>21664</v>
      </c>
      <c r="O18" s="350">
        <f t="shared" si="3"/>
        <v>180.53333333333333</v>
      </c>
      <c r="P18" s="350">
        <f t="shared" si="4"/>
        <v>0</v>
      </c>
      <c r="Q18" s="350">
        <f t="shared" si="5"/>
        <v>0</v>
      </c>
      <c r="R18" s="350">
        <f t="shared" si="6"/>
        <v>0</v>
      </c>
      <c r="S18" s="352">
        <v>0</v>
      </c>
      <c r="T18" s="350">
        <f t="shared" si="7"/>
        <v>0</v>
      </c>
      <c r="U18" s="350">
        <f t="shared" si="8"/>
        <v>21664</v>
      </c>
      <c r="V18" s="350">
        <f t="shared" si="9"/>
        <v>0</v>
      </c>
      <c r="W18" s="352">
        <v>1</v>
      </c>
      <c r="X18" s="350">
        <f t="shared" si="10"/>
        <v>0</v>
      </c>
      <c r="Y18" s="350">
        <f t="shared" si="11"/>
        <v>0</v>
      </c>
      <c r="Z18" s="350">
        <f t="shared" ref="Z18:Z81" si="18">IF((N18-((AB18-AA18)*12*O18))&lt;0,0,(N18-((AB18-AA18)*12*(O18)))*S18)</f>
        <v>0</v>
      </c>
      <c r="AA18" s="350">
        <f t="shared" si="12"/>
        <v>108</v>
      </c>
      <c r="AB18" s="350">
        <f t="shared" si="13"/>
        <v>124</v>
      </c>
      <c r="AC18" s="350">
        <f t="shared" si="14"/>
        <v>118</v>
      </c>
      <c r="AD18" s="350">
        <f t="shared" si="15"/>
        <v>123</v>
      </c>
      <c r="AE18" s="350">
        <f t="shared" si="16"/>
        <v>-8.3333333333333329E-2</v>
      </c>
      <c r="AF18" s="350">
        <f t="shared" si="17"/>
        <v>21664</v>
      </c>
      <c r="AG18" s="350"/>
      <c r="AH18" s="350"/>
      <c r="AI18" s="350"/>
    </row>
    <row r="19" spans="2:35">
      <c r="B19" s="353" t="s">
        <v>645</v>
      </c>
      <c r="C19" s="289">
        <v>2008</v>
      </c>
      <c r="D19" s="289">
        <f t="shared" si="0"/>
        <v>108</v>
      </c>
      <c r="E19" s="289">
        <v>1</v>
      </c>
      <c r="F19" s="351">
        <v>0</v>
      </c>
      <c r="G19" s="344" t="s">
        <v>169</v>
      </c>
      <c r="H19" s="289">
        <v>10</v>
      </c>
      <c r="I19" s="289">
        <f t="shared" si="1"/>
        <v>118</v>
      </c>
      <c r="L19" s="576">
        <v>10480</v>
      </c>
      <c r="M19" s="350">
        <v>0</v>
      </c>
      <c r="N19" s="350">
        <f t="shared" si="2"/>
        <v>10480</v>
      </c>
      <c r="O19" s="350">
        <f t="shared" si="3"/>
        <v>87.333333333333329</v>
      </c>
      <c r="P19" s="350">
        <f t="shared" si="4"/>
        <v>0</v>
      </c>
      <c r="Q19" s="350">
        <f t="shared" si="5"/>
        <v>0</v>
      </c>
      <c r="R19" s="350">
        <f t="shared" si="6"/>
        <v>0</v>
      </c>
      <c r="S19" s="352">
        <v>0</v>
      </c>
      <c r="T19" s="350">
        <f t="shared" si="7"/>
        <v>0</v>
      </c>
      <c r="U19" s="350">
        <f t="shared" si="8"/>
        <v>10480</v>
      </c>
      <c r="V19" s="350">
        <f t="shared" si="9"/>
        <v>0</v>
      </c>
      <c r="W19" s="352">
        <v>1</v>
      </c>
      <c r="X19" s="350">
        <f t="shared" si="10"/>
        <v>0</v>
      </c>
      <c r="Y19" s="350">
        <f t="shared" si="11"/>
        <v>0</v>
      </c>
      <c r="Z19" s="350">
        <f t="shared" si="18"/>
        <v>0</v>
      </c>
      <c r="AA19" s="350">
        <f t="shared" si="12"/>
        <v>108</v>
      </c>
      <c r="AB19" s="350">
        <f t="shared" si="13"/>
        <v>124</v>
      </c>
      <c r="AC19" s="350">
        <f t="shared" si="14"/>
        <v>118</v>
      </c>
      <c r="AD19" s="350">
        <f t="shared" si="15"/>
        <v>123</v>
      </c>
      <c r="AE19" s="350">
        <f t="shared" si="16"/>
        <v>-8.3333333333333329E-2</v>
      </c>
      <c r="AF19" s="350">
        <f t="shared" si="17"/>
        <v>10480</v>
      </c>
      <c r="AG19" s="350"/>
      <c r="AH19" s="350"/>
      <c r="AI19" s="350"/>
    </row>
    <row r="20" spans="2:35">
      <c r="B20" s="353" t="s">
        <v>646</v>
      </c>
      <c r="C20" s="289">
        <v>2008</v>
      </c>
      <c r="D20" s="289">
        <f t="shared" si="0"/>
        <v>108</v>
      </c>
      <c r="E20" s="289">
        <v>6</v>
      </c>
      <c r="F20" s="351">
        <v>0</v>
      </c>
      <c r="G20" s="344" t="s">
        <v>169</v>
      </c>
      <c r="H20" s="289">
        <v>10</v>
      </c>
      <c r="I20" s="289">
        <f t="shared" si="1"/>
        <v>118</v>
      </c>
      <c r="L20" s="576">
        <v>29609</v>
      </c>
      <c r="M20" s="350">
        <v>0</v>
      </c>
      <c r="N20" s="350">
        <f t="shared" si="2"/>
        <v>29609</v>
      </c>
      <c r="O20" s="350">
        <f t="shared" si="3"/>
        <v>246.74166666666667</v>
      </c>
      <c r="P20" s="350">
        <f t="shared" si="4"/>
        <v>0</v>
      </c>
      <c r="Q20" s="350">
        <f t="shared" si="5"/>
        <v>0</v>
      </c>
      <c r="R20" s="350">
        <f t="shared" si="6"/>
        <v>0</v>
      </c>
      <c r="S20" s="352">
        <f>+'WP-11 - Non-Regulated'!$K$40</f>
        <v>0.5539209822239638</v>
      </c>
      <c r="T20" s="350">
        <f t="shared" si="7"/>
        <v>0</v>
      </c>
      <c r="U20" s="350">
        <f t="shared" si="8"/>
        <v>29609</v>
      </c>
      <c r="V20" s="350">
        <f t="shared" si="9"/>
        <v>16401.046362669345</v>
      </c>
      <c r="W20" s="352">
        <v>1</v>
      </c>
      <c r="X20" s="350">
        <f t="shared" si="10"/>
        <v>16401.046362669345</v>
      </c>
      <c r="Y20" s="350">
        <f t="shared" si="11"/>
        <v>16401.046362669345</v>
      </c>
      <c r="Z20" s="350">
        <f t="shared" si="18"/>
        <v>0</v>
      </c>
      <c r="AA20" s="350">
        <f t="shared" si="12"/>
        <v>108.41666666666667</v>
      </c>
      <c r="AB20" s="350">
        <f t="shared" si="13"/>
        <v>124</v>
      </c>
      <c r="AC20" s="350">
        <f t="shared" si="14"/>
        <v>118.41666666666667</v>
      </c>
      <c r="AD20" s="350">
        <f t="shared" si="15"/>
        <v>123</v>
      </c>
      <c r="AE20" s="350">
        <f t="shared" si="16"/>
        <v>-8.3333333333333329E-2</v>
      </c>
      <c r="AF20" s="350">
        <f t="shared" si="17"/>
        <v>13207.953637330655</v>
      </c>
      <c r="AG20" s="350"/>
      <c r="AH20" s="350"/>
      <c r="AI20" s="350"/>
    </row>
    <row r="21" spans="2:35">
      <c r="B21" s="353" t="s">
        <v>647</v>
      </c>
      <c r="C21" s="289">
        <v>2009</v>
      </c>
      <c r="D21" s="289">
        <f t="shared" si="0"/>
        <v>109</v>
      </c>
      <c r="E21" s="289">
        <v>3</v>
      </c>
      <c r="F21" s="351">
        <v>0</v>
      </c>
      <c r="G21" s="344" t="s">
        <v>169</v>
      </c>
      <c r="H21" s="289">
        <v>10</v>
      </c>
      <c r="I21" s="289">
        <f t="shared" si="1"/>
        <v>119</v>
      </c>
      <c r="L21" s="576">
        <v>27680</v>
      </c>
      <c r="M21" s="350">
        <v>0</v>
      </c>
      <c r="N21" s="350">
        <f t="shared" si="2"/>
        <v>27680</v>
      </c>
      <c r="O21" s="350">
        <f t="shared" si="3"/>
        <v>230.66666666666666</v>
      </c>
      <c r="P21" s="350">
        <f t="shared" si="4"/>
        <v>0</v>
      </c>
      <c r="Q21" s="350">
        <f t="shared" si="5"/>
        <v>0</v>
      </c>
      <c r="R21" s="350">
        <f t="shared" si="6"/>
        <v>0</v>
      </c>
      <c r="S21" s="352">
        <f>+'WP-11 - Non-Regulated'!$K$40</f>
        <v>0.5539209822239638</v>
      </c>
      <c r="T21" s="350">
        <f t="shared" si="7"/>
        <v>0</v>
      </c>
      <c r="U21" s="350">
        <f t="shared" si="8"/>
        <v>27680</v>
      </c>
      <c r="V21" s="350">
        <f t="shared" si="9"/>
        <v>15332.532787959319</v>
      </c>
      <c r="W21" s="352">
        <v>1</v>
      </c>
      <c r="X21" s="350">
        <f t="shared" si="10"/>
        <v>15332.532787959319</v>
      </c>
      <c r="Y21" s="350">
        <f t="shared" si="11"/>
        <v>15332.532787959319</v>
      </c>
      <c r="Z21" s="350">
        <f t="shared" si="18"/>
        <v>0</v>
      </c>
      <c r="AA21" s="350">
        <f t="shared" si="12"/>
        <v>109.16666666666667</v>
      </c>
      <c r="AB21" s="350">
        <f t="shared" si="13"/>
        <v>124</v>
      </c>
      <c r="AC21" s="350">
        <f t="shared" si="14"/>
        <v>119.16666666666667</v>
      </c>
      <c r="AD21" s="350">
        <f t="shared" si="15"/>
        <v>123</v>
      </c>
      <c r="AE21" s="350">
        <f t="shared" si="16"/>
        <v>-8.3333333333333329E-2</v>
      </c>
      <c r="AF21" s="350">
        <f t="shared" si="17"/>
        <v>12347.467212040681</v>
      </c>
      <c r="AG21" s="350"/>
      <c r="AH21" s="350"/>
      <c r="AI21" s="350"/>
    </row>
    <row r="22" spans="2:35">
      <c r="B22" s="353" t="s">
        <v>648</v>
      </c>
      <c r="C22" s="289">
        <v>2009</v>
      </c>
      <c r="D22" s="289">
        <f t="shared" si="0"/>
        <v>109</v>
      </c>
      <c r="E22" s="289">
        <v>3</v>
      </c>
      <c r="F22" s="351">
        <v>0</v>
      </c>
      <c r="G22" s="344" t="s">
        <v>169</v>
      </c>
      <c r="H22" s="289">
        <v>10</v>
      </c>
      <c r="I22" s="289">
        <f t="shared" si="1"/>
        <v>119</v>
      </c>
      <c r="L22" s="576">
        <v>7580</v>
      </c>
      <c r="M22" s="350">
        <v>0</v>
      </c>
      <c r="N22" s="350">
        <f t="shared" si="2"/>
        <v>7580</v>
      </c>
      <c r="O22" s="350">
        <f t="shared" si="3"/>
        <v>63.166666666666664</v>
      </c>
      <c r="P22" s="350">
        <f t="shared" si="4"/>
        <v>0</v>
      </c>
      <c r="Q22" s="350">
        <f t="shared" si="5"/>
        <v>0</v>
      </c>
      <c r="R22" s="350">
        <f t="shared" si="6"/>
        <v>0</v>
      </c>
      <c r="S22" s="352">
        <f>+'WP-11 - Non-Regulated'!$K$40</f>
        <v>0.5539209822239638</v>
      </c>
      <c r="T22" s="350">
        <f t="shared" si="7"/>
        <v>0</v>
      </c>
      <c r="U22" s="350">
        <f t="shared" si="8"/>
        <v>7580</v>
      </c>
      <c r="V22" s="350">
        <f t="shared" si="9"/>
        <v>4198.7210452576455</v>
      </c>
      <c r="W22" s="352">
        <v>1</v>
      </c>
      <c r="X22" s="350">
        <f t="shared" si="10"/>
        <v>4198.7210452576455</v>
      </c>
      <c r="Y22" s="350">
        <f t="shared" si="11"/>
        <v>4198.7210452576455</v>
      </c>
      <c r="Z22" s="350">
        <f t="shared" si="18"/>
        <v>0</v>
      </c>
      <c r="AA22" s="350">
        <f t="shared" si="12"/>
        <v>109.16666666666667</v>
      </c>
      <c r="AB22" s="350">
        <f t="shared" si="13"/>
        <v>124</v>
      </c>
      <c r="AC22" s="350">
        <f t="shared" si="14"/>
        <v>119.16666666666667</v>
      </c>
      <c r="AD22" s="350">
        <f t="shared" si="15"/>
        <v>123</v>
      </c>
      <c r="AE22" s="350">
        <f t="shared" si="16"/>
        <v>-8.3333333333333329E-2</v>
      </c>
      <c r="AF22" s="350">
        <f t="shared" si="17"/>
        <v>3381.2789547423545</v>
      </c>
      <c r="AG22" s="350"/>
      <c r="AH22" s="350"/>
      <c r="AI22" s="350"/>
    </row>
    <row r="23" spans="2:35">
      <c r="B23" s="353" t="s">
        <v>649</v>
      </c>
      <c r="C23" s="289">
        <v>2009</v>
      </c>
      <c r="D23" s="289">
        <f t="shared" si="0"/>
        <v>109</v>
      </c>
      <c r="E23" s="289">
        <v>6</v>
      </c>
      <c r="F23" s="351">
        <v>0</v>
      </c>
      <c r="G23" s="344" t="s">
        <v>169</v>
      </c>
      <c r="H23" s="289">
        <v>10</v>
      </c>
      <c r="I23" s="289">
        <f t="shared" si="1"/>
        <v>119</v>
      </c>
      <c r="L23" s="576">
        <v>15000</v>
      </c>
      <c r="M23" s="350">
        <v>0</v>
      </c>
      <c r="N23" s="350">
        <f t="shared" si="2"/>
        <v>15000</v>
      </c>
      <c r="O23" s="350">
        <f t="shared" si="3"/>
        <v>125</v>
      </c>
      <c r="P23" s="350">
        <f t="shared" si="4"/>
        <v>0</v>
      </c>
      <c r="Q23" s="350">
        <f t="shared" si="5"/>
        <v>0</v>
      </c>
      <c r="R23" s="350">
        <f t="shared" si="6"/>
        <v>0</v>
      </c>
      <c r="S23" s="352">
        <f>+'WP-11 - Non-Regulated'!$K$40</f>
        <v>0.5539209822239638</v>
      </c>
      <c r="T23" s="350">
        <f t="shared" si="7"/>
        <v>0</v>
      </c>
      <c r="U23" s="350">
        <f t="shared" si="8"/>
        <v>15000</v>
      </c>
      <c r="V23" s="350">
        <f t="shared" si="9"/>
        <v>8308.814733359457</v>
      </c>
      <c r="W23" s="352">
        <v>1</v>
      </c>
      <c r="X23" s="350">
        <f t="shared" si="10"/>
        <v>8308.814733359457</v>
      </c>
      <c r="Y23" s="350">
        <f t="shared" si="11"/>
        <v>8308.814733359457</v>
      </c>
      <c r="Z23" s="350">
        <f t="shared" si="18"/>
        <v>0</v>
      </c>
      <c r="AA23" s="350">
        <f t="shared" si="12"/>
        <v>109.41666666666667</v>
      </c>
      <c r="AB23" s="350">
        <f t="shared" si="13"/>
        <v>124</v>
      </c>
      <c r="AC23" s="350">
        <f t="shared" si="14"/>
        <v>119.41666666666667</v>
      </c>
      <c r="AD23" s="350">
        <f t="shared" si="15"/>
        <v>123</v>
      </c>
      <c r="AE23" s="350">
        <f t="shared" si="16"/>
        <v>-8.3333333333333329E-2</v>
      </c>
      <c r="AF23" s="350">
        <f t="shared" si="17"/>
        <v>6691.185266640543</v>
      </c>
      <c r="AG23" s="350"/>
      <c r="AH23" s="350"/>
      <c r="AI23" s="350"/>
    </row>
    <row r="24" spans="2:35">
      <c r="B24" s="353" t="s">
        <v>648</v>
      </c>
      <c r="C24" s="289">
        <v>2009</v>
      </c>
      <c r="D24" s="289">
        <f t="shared" si="0"/>
        <v>109</v>
      </c>
      <c r="E24" s="289">
        <v>3</v>
      </c>
      <c r="F24" s="351">
        <v>0</v>
      </c>
      <c r="G24" s="344" t="s">
        <v>169</v>
      </c>
      <c r="H24" s="289">
        <v>10</v>
      </c>
      <c r="I24" s="289">
        <f t="shared" si="1"/>
        <v>119</v>
      </c>
      <c r="L24" s="576">
        <v>9200</v>
      </c>
      <c r="M24" s="350">
        <v>0</v>
      </c>
      <c r="N24" s="350">
        <f t="shared" si="2"/>
        <v>9200</v>
      </c>
      <c r="O24" s="350">
        <f t="shared" si="3"/>
        <v>76.666666666666671</v>
      </c>
      <c r="P24" s="350">
        <f t="shared" si="4"/>
        <v>0</v>
      </c>
      <c r="Q24" s="350">
        <f t="shared" si="5"/>
        <v>0</v>
      </c>
      <c r="R24" s="350">
        <f t="shared" si="6"/>
        <v>0</v>
      </c>
      <c r="S24" s="352">
        <f>+'WP-11 - Non-Regulated'!$K$40</f>
        <v>0.5539209822239638</v>
      </c>
      <c r="T24" s="350">
        <f t="shared" si="7"/>
        <v>0</v>
      </c>
      <c r="U24" s="350">
        <f t="shared" si="8"/>
        <v>9200</v>
      </c>
      <c r="V24" s="350">
        <f t="shared" si="9"/>
        <v>5096.0730364604669</v>
      </c>
      <c r="W24" s="352">
        <v>1</v>
      </c>
      <c r="X24" s="350">
        <f t="shared" si="10"/>
        <v>5096.0730364604669</v>
      </c>
      <c r="Y24" s="350">
        <f t="shared" si="11"/>
        <v>5096.0730364604669</v>
      </c>
      <c r="Z24" s="350">
        <f t="shared" si="18"/>
        <v>0</v>
      </c>
      <c r="AA24" s="350">
        <f t="shared" si="12"/>
        <v>109.16666666666667</v>
      </c>
      <c r="AB24" s="350">
        <f t="shared" si="13"/>
        <v>124</v>
      </c>
      <c r="AC24" s="350">
        <f t="shared" si="14"/>
        <v>119.16666666666667</v>
      </c>
      <c r="AD24" s="350">
        <f t="shared" si="15"/>
        <v>123</v>
      </c>
      <c r="AE24" s="350">
        <f t="shared" si="16"/>
        <v>-8.3333333333333329E-2</v>
      </c>
      <c r="AF24" s="350">
        <f t="shared" si="17"/>
        <v>4103.9269635395331</v>
      </c>
      <c r="AG24" s="350"/>
      <c r="AH24" s="350"/>
      <c r="AI24" s="350"/>
    </row>
    <row r="25" spans="2:35">
      <c r="B25" s="353" t="s">
        <v>650</v>
      </c>
      <c r="C25" s="289">
        <v>2009</v>
      </c>
      <c r="D25" s="289">
        <f t="shared" si="0"/>
        <v>109</v>
      </c>
      <c r="E25" s="289">
        <v>1</v>
      </c>
      <c r="F25" s="351">
        <v>0</v>
      </c>
      <c r="G25" s="344" t="s">
        <v>169</v>
      </c>
      <c r="H25" s="289">
        <v>10</v>
      </c>
      <c r="I25" s="289">
        <f t="shared" si="1"/>
        <v>119</v>
      </c>
      <c r="L25" s="576">
        <v>59050</v>
      </c>
      <c r="M25" s="350">
        <v>0</v>
      </c>
      <c r="N25" s="350">
        <f t="shared" si="2"/>
        <v>59050</v>
      </c>
      <c r="O25" s="350">
        <f t="shared" si="3"/>
        <v>492.08333333333331</v>
      </c>
      <c r="P25" s="350">
        <f t="shared" si="4"/>
        <v>0</v>
      </c>
      <c r="Q25" s="350">
        <f t="shared" si="5"/>
        <v>0</v>
      </c>
      <c r="R25" s="350">
        <f t="shared" si="6"/>
        <v>0</v>
      </c>
      <c r="S25" s="352">
        <f>+'WP-11 - Non-Regulated'!$K$40</f>
        <v>0.5539209822239638</v>
      </c>
      <c r="T25" s="350">
        <f t="shared" si="7"/>
        <v>0</v>
      </c>
      <c r="U25" s="350">
        <f t="shared" si="8"/>
        <v>59050</v>
      </c>
      <c r="V25" s="350">
        <f t="shared" si="9"/>
        <v>32709.034000325064</v>
      </c>
      <c r="W25" s="352">
        <v>1</v>
      </c>
      <c r="X25" s="350">
        <f t="shared" si="10"/>
        <v>32709.034000325064</v>
      </c>
      <c r="Y25" s="350">
        <f t="shared" si="11"/>
        <v>32709.034000325064</v>
      </c>
      <c r="Z25" s="350">
        <f t="shared" si="18"/>
        <v>0</v>
      </c>
      <c r="AA25" s="350">
        <f t="shared" si="12"/>
        <v>109</v>
      </c>
      <c r="AB25" s="350">
        <f t="shared" si="13"/>
        <v>124</v>
      </c>
      <c r="AC25" s="350">
        <f t="shared" si="14"/>
        <v>119</v>
      </c>
      <c r="AD25" s="350">
        <f t="shared" si="15"/>
        <v>123</v>
      </c>
      <c r="AE25" s="350">
        <f t="shared" si="16"/>
        <v>-8.3333333333333329E-2</v>
      </c>
      <c r="AF25" s="350">
        <f t="shared" si="17"/>
        <v>26340.965999674936</v>
      </c>
      <c r="AG25" s="350"/>
      <c r="AH25" s="350"/>
      <c r="AI25" s="350"/>
    </row>
    <row r="26" spans="2:35">
      <c r="B26" s="353" t="s">
        <v>651</v>
      </c>
      <c r="C26" s="289">
        <v>2009</v>
      </c>
      <c r="D26" s="289">
        <f t="shared" si="0"/>
        <v>109</v>
      </c>
      <c r="E26" s="289">
        <v>4</v>
      </c>
      <c r="F26" s="351">
        <v>0</v>
      </c>
      <c r="G26" s="344" t="s">
        <v>169</v>
      </c>
      <c r="H26" s="289">
        <v>10</v>
      </c>
      <c r="I26" s="289">
        <f t="shared" si="1"/>
        <v>119</v>
      </c>
      <c r="L26" s="576">
        <v>18300</v>
      </c>
      <c r="M26" s="350">
        <v>0</v>
      </c>
      <c r="N26" s="350">
        <f t="shared" si="2"/>
        <v>18300</v>
      </c>
      <c r="O26" s="350">
        <f t="shared" si="3"/>
        <v>152.5</v>
      </c>
      <c r="P26" s="350">
        <f t="shared" si="4"/>
        <v>0</v>
      </c>
      <c r="Q26" s="350">
        <f t="shared" si="5"/>
        <v>0</v>
      </c>
      <c r="R26" s="350">
        <f t="shared" si="6"/>
        <v>0</v>
      </c>
      <c r="S26" s="352">
        <f>+'WP-11 - Non-Regulated'!$K$40</f>
        <v>0.5539209822239638</v>
      </c>
      <c r="T26" s="350">
        <f t="shared" si="7"/>
        <v>0</v>
      </c>
      <c r="U26" s="350">
        <f t="shared" si="8"/>
        <v>18300</v>
      </c>
      <c r="V26" s="350">
        <f t="shared" si="9"/>
        <v>10136.753974698537</v>
      </c>
      <c r="W26" s="352">
        <v>1</v>
      </c>
      <c r="X26" s="350">
        <f t="shared" si="10"/>
        <v>10136.753974698537</v>
      </c>
      <c r="Y26" s="350">
        <f t="shared" si="11"/>
        <v>10136.753974698537</v>
      </c>
      <c r="Z26" s="350">
        <f t="shared" si="18"/>
        <v>0</v>
      </c>
      <c r="AA26" s="350">
        <f t="shared" si="12"/>
        <v>109.25</v>
      </c>
      <c r="AB26" s="350">
        <f t="shared" si="13"/>
        <v>124</v>
      </c>
      <c r="AC26" s="350">
        <f t="shared" si="14"/>
        <v>119.25</v>
      </c>
      <c r="AD26" s="350">
        <f t="shared" si="15"/>
        <v>123</v>
      </c>
      <c r="AE26" s="350">
        <f t="shared" si="16"/>
        <v>-8.3333333333333329E-2</v>
      </c>
      <c r="AF26" s="350">
        <f t="shared" si="17"/>
        <v>8163.2460253014633</v>
      </c>
      <c r="AG26" s="350"/>
      <c r="AH26" s="350"/>
      <c r="AI26" s="350"/>
    </row>
    <row r="27" spans="2:35">
      <c r="B27" s="353" t="s">
        <v>644</v>
      </c>
      <c r="C27" s="289">
        <v>2012</v>
      </c>
      <c r="D27" s="289">
        <f t="shared" si="0"/>
        <v>112</v>
      </c>
      <c r="E27" s="289">
        <v>6</v>
      </c>
      <c r="F27" s="351">
        <v>0</v>
      </c>
      <c r="G27" s="344" t="s">
        <v>169</v>
      </c>
      <c r="H27" s="289">
        <v>10</v>
      </c>
      <c r="I27" s="289">
        <f t="shared" si="1"/>
        <v>122</v>
      </c>
      <c r="L27" s="576">
        <v>52040</v>
      </c>
      <c r="M27" s="350">
        <v>0</v>
      </c>
      <c r="N27" s="350">
        <f t="shared" si="2"/>
        <v>52040</v>
      </c>
      <c r="O27" s="350">
        <f t="shared" si="3"/>
        <v>433.66666666666669</v>
      </c>
      <c r="P27" s="350">
        <f t="shared" si="4"/>
        <v>0</v>
      </c>
      <c r="Q27" s="350">
        <f t="shared" si="5"/>
        <v>0</v>
      </c>
      <c r="R27" s="350">
        <f t="shared" si="6"/>
        <v>0</v>
      </c>
      <c r="S27" s="352">
        <f>+'WP-11 - Non-Regulated'!$K$40</f>
        <v>0.5539209822239638</v>
      </c>
      <c r="T27" s="350">
        <f t="shared" si="7"/>
        <v>0</v>
      </c>
      <c r="U27" s="350">
        <f t="shared" si="8"/>
        <v>52040</v>
      </c>
      <c r="V27" s="350">
        <f t="shared" si="9"/>
        <v>28826.047914935076</v>
      </c>
      <c r="W27" s="352">
        <v>1</v>
      </c>
      <c r="X27" s="350">
        <f t="shared" si="10"/>
        <v>28826.047914935076</v>
      </c>
      <c r="Y27" s="350">
        <f t="shared" si="11"/>
        <v>28826.047914935076</v>
      </c>
      <c r="Z27" s="350">
        <f t="shared" si="18"/>
        <v>0</v>
      </c>
      <c r="AA27" s="350">
        <f t="shared" si="12"/>
        <v>112.41666666666667</v>
      </c>
      <c r="AB27" s="350">
        <f t="shared" si="13"/>
        <v>124</v>
      </c>
      <c r="AC27" s="350">
        <f t="shared" si="14"/>
        <v>122.41666666666667</v>
      </c>
      <c r="AD27" s="350">
        <f t="shared" si="15"/>
        <v>123</v>
      </c>
      <c r="AE27" s="350">
        <f t="shared" si="16"/>
        <v>-8.3333333333333329E-2</v>
      </c>
      <c r="AF27" s="350">
        <f t="shared" si="17"/>
        <v>23213.952085064924</v>
      </c>
      <c r="AG27" s="350"/>
      <c r="AH27" s="350"/>
      <c r="AI27" s="350"/>
    </row>
    <row r="28" spans="2:35">
      <c r="B28" s="353" t="s">
        <v>644</v>
      </c>
      <c r="C28" s="289">
        <v>2013</v>
      </c>
      <c r="D28" s="289">
        <f t="shared" si="0"/>
        <v>113</v>
      </c>
      <c r="E28" s="289">
        <v>4</v>
      </c>
      <c r="F28" s="351">
        <v>0</v>
      </c>
      <c r="G28" s="344" t="s">
        <v>169</v>
      </c>
      <c r="H28" s="289">
        <v>10</v>
      </c>
      <c r="I28" s="289">
        <f t="shared" si="1"/>
        <v>123</v>
      </c>
      <c r="L28" s="576">
        <v>147730</v>
      </c>
      <c r="M28" s="350">
        <v>0</v>
      </c>
      <c r="N28" s="350">
        <f t="shared" si="2"/>
        <v>147730</v>
      </c>
      <c r="O28" s="350">
        <f t="shared" si="3"/>
        <v>1231.0833333333333</v>
      </c>
      <c r="P28" s="350">
        <f t="shared" si="4"/>
        <v>3693.25</v>
      </c>
      <c r="Q28" s="350">
        <f t="shared" si="5"/>
        <v>0</v>
      </c>
      <c r="R28" s="350">
        <f t="shared" si="6"/>
        <v>3693.25</v>
      </c>
      <c r="S28" s="352">
        <f>+'WP-11 - Non-Regulated'!$K$40</f>
        <v>0.5539209822239638</v>
      </c>
      <c r="T28" s="350">
        <f t="shared" si="7"/>
        <v>2045.7686675986542</v>
      </c>
      <c r="U28" s="350">
        <f t="shared" si="8"/>
        <v>144036.75</v>
      </c>
      <c r="V28" s="350">
        <f t="shared" si="9"/>
        <v>79784.978036347515</v>
      </c>
      <c r="W28" s="352">
        <v>1</v>
      </c>
      <c r="X28" s="350">
        <f t="shared" si="10"/>
        <v>79784.978036347515</v>
      </c>
      <c r="Y28" s="350">
        <f t="shared" si="11"/>
        <v>81830.746703946163</v>
      </c>
      <c r="Z28" s="350">
        <f t="shared" si="18"/>
        <v>0</v>
      </c>
      <c r="AA28" s="350">
        <f t="shared" si="12"/>
        <v>113.25</v>
      </c>
      <c r="AB28" s="350">
        <f t="shared" si="13"/>
        <v>124</v>
      </c>
      <c r="AC28" s="350">
        <f t="shared" si="14"/>
        <v>123.25</v>
      </c>
      <c r="AD28" s="350">
        <f t="shared" si="15"/>
        <v>123</v>
      </c>
      <c r="AE28" s="350">
        <f t="shared" si="16"/>
        <v>-8.3333333333333329E-2</v>
      </c>
      <c r="AF28" s="350">
        <f t="shared" si="17"/>
        <v>66922.137629853154</v>
      </c>
      <c r="AG28" s="350"/>
      <c r="AH28" s="350"/>
      <c r="AI28" s="350"/>
    </row>
    <row r="29" spans="2:35">
      <c r="B29" s="353" t="s">
        <v>644</v>
      </c>
      <c r="C29" s="289">
        <v>2014</v>
      </c>
      <c r="D29" s="289">
        <f t="shared" si="0"/>
        <v>114</v>
      </c>
      <c r="E29" s="289">
        <v>3</v>
      </c>
      <c r="F29" s="351">
        <v>0</v>
      </c>
      <c r="G29" s="344" t="s">
        <v>169</v>
      </c>
      <c r="H29" s="289">
        <v>10</v>
      </c>
      <c r="I29" s="289">
        <f t="shared" si="1"/>
        <v>124</v>
      </c>
      <c r="L29" s="576">
        <v>204489</v>
      </c>
      <c r="M29" s="350">
        <v>0</v>
      </c>
      <c r="N29" s="350">
        <f t="shared" si="2"/>
        <v>204489</v>
      </c>
      <c r="O29" s="350">
        <f t="shared" si="3"/>
        <v>1704.075</v>
      </c>
      <c r="P29" s="350">
        <f t="shared" si="4"/>
        <v>20448.900000000001</v>
      </c>
      <c r="Q29" s="350">
        <f t="shared" si="5"/>
        <v>0</v>
      </c>
      <c r="R29" s="350">
        <f t="shared" si="6"/>
        <v>20448.900000000001</v>
      </c>
      <c r="S29" s="352">
        <f>+'WP-11 - Non-Regulated'!$K$40</f>
        <v>0.5539209822239638</v>
      </c>
      <c r="T29" s="350">
        <f t="shared" si="7"/>
        <v>11327.074773399614</v>
      </c>
      <c r="U29" s="350">
        <f t="shared" si="8"/>
        <v>180631.9499999999</v>
      </c>
      <c r="V29" s="350">
        <f t="shared" si="9"/>
        <v>100055.82716502986</v>
      </c>
      <c r="W29" s="352">
        <v>1</v>
      </c>
      <c r="X29" s="350">
        <f t="shared" si="10"/>
        <v>100055.82716502986</v>
      </c>
      <c r="Y29" s="350">
        <f t="shared" si="11"/>
        <v>111382.90193842947</v>
      </c>
      <c r="Z29" s="350">
        <f t="shared" si="18"/>
        <v>1887.8457955666474</v>
      </c>
      <c r="AA29" s="350">
        <f t="shared" si="12"/>
        <v>114.16666666666667</v>
      </c>
      <c r="AB29" s="350">
        <f t="shared" si="13"/>
        <v>124</v>
      </c>
      <c r="AC29" s="350">
        <f t="shared" si="14"/>
        <v>124.16666666666667</v>
      </c>
      <c r="AD29" s="350">
        <f t="shared" si="15"/>
        <v>123</v>
      </c>
      <c r="AE29" s="350">
        <f t="shared" si="16"/>
        <v>-8.3333333333333329E-2</v>
      </c>
      <c r="AF29" s="350">
        <f t="shared" si="17"/>
        <v>96881.789652703679</v>
      </c>
      <c r="AG29" s="350"/>
      <c r="AH29" s="350"/>
      <c r="AI29" s="350"/>
    </row>
    <row r="30" spans="2:35">
      <c r="B30" s="353" t="s">
        <v>644</v>
      </c>
      <c r="C30" s="289">
        <v>2014</v>
      </c>
      <c r="D30" s="289">
        <f t="shared" si="0"/>
        <v>114</v>
      </c>
      <c r="E30" s="289">
        <v>6</v>
      </c>
      <c r="F30" s="351">
        <v>0</v>
      </c>
      <c r="G30" s="344" t="s">
        <v>169</v>
      </c>
      <c r="H30" s="289">
        <v>10</v>
      </c>
      <c r="I30" s="289">
        <f t="shared" si="1"/>
        <v>124</v>
      </c>
      <c r="L30" s="576">
        <v>61956</v>
      </c>
      <c r="M30" s="350">
        <v>0</v>
      </c>
      <c r="N30" s="350">
        <f t="shared" si="2"/>
        <v>61956</v>
      </c>
      <c r="O30" s="350">
        <f t="shared" si="3"/>
        <v>516.30000000000007</v>
      </c>
      <c r="P30" s="350">
        <f t="shared" si="4"/>
        <v>6195.6</v>
      </c>
      <c r="Q30" s="350">
        <f t="shared" si="5"/>
        <v>0</v>
      </c>
      <c r="R30" s="350">
        <f t="shared" si="6"/>
        <v>6195.6</v>
      </c>
      <c r="S30" s="352">
        <f>+'WP-11 - Non-Regulated'!$K$40</f>
        <v>0.5539209822239638</v>
      </c>
      <c r="T30" s="350">
        <f t="shared" si="7"/>
        <v>3431.8728374667903</v>
      </c>
      <c r="U30" s="350">
        <f t="shared" si="8"/>
        <v>53178.89999999998</v>
      </c>
      <c r="V30" s="350">
        <f t="shared" si="9"/>
        <v>29456.908521589936</v>
      </c>
      <c r="W30" s="352">
        <v>1</v>
      </c>
      <c r="X30" s="350">
        <f t="shared" si="10"/>
        <v>29456.908521589936</v>
      </c>
      <c r="Y30" s="350">
        <f t="shared" si="11"/>
        <v>32888.781359056724</v>
      </c>
      <c r="Z30" s="350">
        <f t="shared" si="18"/>
        <v>1429.9470156111747</v>
      </c>
      <c r="AA30" s="350">
        <f t="shared" si="12"/>
        <v>114.41666666666667</v>
      </c>
      <c r="AB30" s="350">
        <f t="shared" si="13"/>
        <v>124</v>
      </c>
      <c r="AC30" s="350">
        <f t="shared" si="14"/>
        <v>124.41666666666667</v>
      </c>
      <c r="AD30" s="350">
        <f t="shared" si="15"/>
        <v>123</v>
      </c>
      <c r="AE30" s="350">
        <f t="shared" si="16"/>
        <v>-8.3333333333333329E-2</v>
      </c>
      <c r="AF30" s="350">
        <f t="shared" si="17"/>
        <v>29353.208044065494</v>
      </c>
      <c r="AG30" s="350"/>
      <c r="AH30" s="350"/>
      <c r="AI30" s="350"/>
    </row>
    <row r="31" spans="2:35">
      <c r="B31" s="353" t="s">
        <v>644</v>
      </c>
      <c r="C31" s="289">
        <v>2015</v>
      </c>
      <c r="D31" s="289">
        <f t="shared" si="0"/>
        <v>115</v>
      </c>
      <c r="E31" s="289">
        <v>2</v>
      </c>
      <c r="F31" s="351">
        <v>0</v>
      </c>
      <c r="G31" s="344" t="s">
        <v>169</v>
      </c>
      <c r="H31" s="289">
        <v>10</v>
      </c>
      <c r="I31" s="289">
        <f t="shared" si="1"/>
        <v>125</v>
      </c>
      <c r="L31" s="576">
        <v>126201</v>
      </c>
      <c r="M31" s="350">
        <v>0</v>
      </c>
      <c r="N31" s="350">
        <f t="shared" si="2"/>
        <v>126201</v>
      </c>
      <c r="O31" s="350">
        <f t="shared" si="3"/>
        <v>1051.675</v>
      </c>
      <c r="P31" s="350">
        <f t="shared" si="4"/>
        <v>12620.099999999999</v>
      </c>
      <c r="Q31" s="350">
        <f t="shared" si="5"/>
        <v>0</v>
      </c>
      <c r="R31" s="350">
        <f t="shared" si="6"/>
        <v>12620.099999999999</v>
      </c>
      <c r="S31" s="352">
        <f>+'WP-11 - Non-Regulated'!$K$40</f>
        <v>0.5539209822239638</v>
      </c>
      <c r="T31" s="350">
        <f t="shared" si="7"/>
        <v>6990.538187764645</v>
      </c>
      <c r="U31" s="350">
        <f t="shared" si="8"/>
        <v>99909.125000000058</v>
      </c>
      <c r="V31" s="350">
        <f t="shared" si="9"/>
        <v>55341.760653136807</v>
      </c>
      <c r="W31" s="352">
        <v>1</v>
      </c>
      <c r="X31" s="350">
        <f t="shared" si="10"/>
        <v>55341.760653136807</v>
      </c>
      <c r="Y31" s="350">
        <f t="shared" si="11"/>
        <v>62332.298840901451</v>
      </c>
      <c r="Z31" s="350">
        <f t="shared" si="18"/>
        <v>7573.0830367450053</v>
      </c>
      <c r="AA31" s="350">
        <f t="shared" si="12"/>
        <v>115.08333333333333</v>
      </c>
      <c r="AB31" s="350">
        <f t="shared" si="13"/>
        <v>124</v>
      </c>
      <c r="AC31" s="350">
        <f t="shared" si="14"/>
        <v>125.08333333333333</v>
      </c>
      <c r="AD31" s="350">
        <f t="shared" si="15"/>
        <v>123</v>
      </c>
      <c r="AE31" s="350">
        <f t="shared" si="16"/>
        <v>-8.3333333333333329E-2</v>
      </c>
      <c r="AF31" s="350">
        <f t="shared" si="17"/>
        <v>59790.887216235868</v>
      </c>
      <c r="AG31" s="350"/>
      <c r="AH31" s="350"/>
      <c r="AI31" s="350"/>
    </row>
    <row r="32" spans="2:35">
      <c r="B32" s="289" t="s">
        <v>631</v>
      </c>
      <c r="C32" s="289">
        <v>2015</v>
      </c>
      <c r="D32" s="289">
        <f t="shared" si="0"/>
        <v>115</v>
      </c>
      <c r="E32" s="289">
        <v>5</v>
      </c>
      <c r="F32" s="351">
        <v>0</v>
      </c>
      <c r="G32" s="344" t="s">
        <v>169</v>
      </c>
      <c r="H32" s="289">
        <v>7</v>
      </c>
      <c r="I32" s="289">
        <f t="shared" si="1"/>
        <v>122</v>
      </c>
      <c r="L32" s="350">
        <v>25121</v>
      </c>
      <c r="M32" s="350">
        <v>0</v>
      </c>
      <c r="N32" s="350">
        <f t="shared" si="2"/>
        <v>25121</v>
      </c>
      <c r="O32" s="350">
        <f t="shared" si="3"/>
        <v>299.0595238095238</v>
      </c>
      <c r="P32" s="350">
        <f t="shared" si="4"/>
        <v>0</v>
      </c>
      <c r="Q32" s="350">
        <f t="shared" si="5"/>
        <v>0</v>
      </c>
      <c r="R32" s="350">
        <f t="shared" si="6"/>
        <v>0</v>
      </c>
      <c r="S32" s="352">
        <f>+'WP-11 - Non-Regulated'!$K$40</f>
        <v>0.5539209822239638</v>
      </c>
      <c r="T32" s="350">
        <f t="shared" si="7"/>
        <v>0</v>
      </c>
      <c r="U32" s="350">
        <f>IF(AA32&gt;AB32,0,IF(AC32&lt;AD32,N32,IF(AND(AC32&gt;=AD32,AC32&lt;=AB32),(N32-R32),IF(AND(AD32&lt;=AA32,AB32&gt;=AA32),0,IF(AC32&gt;AB32,((AD32-AA32)*12)*O32,0)))))</f>
        <v>25121</v>
      </c>
      <c r="V32" s="350">
        <f t="shared" si="9"/>
        <v>13915.048994448194</v>
      </c>
      <c r="W32" s="352">
        <v>1</v>
      </c>
      <c r="X32" s="350">
        <f t="shared" si="10"/>
        <v>13915.048994448194</v>
      </c>
      <c r="Y32" s="350">
        <f t="shared" si="11"/>
        <v>13915.048994448194</v>
      </c>
      <c r="Z32" s="350">
        <f t="shared" si="18"/>
        <v>0</v>
      </c>
      <c r="AA32" s="350">
        <f t="shared" si="12"/>
        <v>115.33333333333333</v>
      </c>
      <c r="AB32" s="350">
        <f t="shared" ref="AB32:AB373" si="19">($B$10+1)-($B$7/12)</f>
        <v>124</v>
      </c>
      <c r="AC32" s="350">
        <f t="shared" si="14"/>
        <v>122.33333333333333</v>
      </c>
      <c r="AD32" s="350">
        <f t="shared" ref="AD32:AD373" si="20">$B$9+($B$8/12)</f>
        <v>123</v>
      </c>
      <c r="AE32" s="350">
        <f t="shared" si="16"/>
        <v>-8.3333333333333329E-2</v>
      </c>
      <c r="AF32" s="350">
        <f t="shared" si="17"/>
        <v>11205.951005551806</v>
      </c>
    </row>
    <row r="33" spans="2:35">
      <c r="B33" s="353" t="s">
        <v>644</v>
      </c>
      <c r="C33" s="289">
        <v>2016</v>
      </c>
      <c r="D33" s="289">
        <f t="shared" ref="D33:D95" si="21">+C33-1900</f>
        <v>116</v>
      </c>
      <c r="E33" s="289">
        <v>1</v>
      </c>
      <c r="F33" s="351">
        <v>0</v>
      </c>
      <c r="G33" s="344" t="s">
        <v>169</v>
      </c>
      <c r="H33" s="289">
        <v>10</v>
      </c>
      <c r="I33" s="289">
        <f t="shared" ref="I33:I37" si="22">D33+H33</f>
        <v>126</v>
      </c>
      <c r="L33" s="576">
        <v>111022</v>
      </c>
      <c r="M33" s="350">
        <v>0</v>
      </c>
      <c r="N33" s="350">
        <f t="shared" ref="N33:N36" si="23">L33-(+L33*F33)</f>
        <v>111022</v>
      </c>
      <c r="O33" s="350">
        <f t="shared" ref="O33:O36" si="24">N33/H33/12</f>
        <v>925.18333333333339</v>
      </c>
      <c r="P33" s="350">
        <f t="shared" ref="P33:P36" si="25">IF(Q33&gt;0,0,IF(OR(AA33&gt;AB33,AC33&lt;AD33),0,IF(AND(AC33&gt;=AD33,AC33&lt;=AB33),O33*((AC33-AD33)*12),IF(AND(AD33&lt;=AA33,AB33&gt;=AA33),((AB33-AA33)*12)*O33,IF(AC33&gt;AB33,12*O33,0)))))</f>
        <v>11102.2</v>
      </c>
      <c r="Q33" s="350">
        <f t="shared" ref="Q33:Q36" si="26">IF(M33=0,0,IF(AND(AE33&gt;=AD33,AE33&lt;=AC33),((AE33-AD33)*12)*O33,0))</f>
        <v>0</v>
      </c>
      <c r="R33" s="350">
        <f t="shared" ref="R33:R36" si="27">IF(Q33&gt;0,Q33,P33)</f>
        <v>11102.2</v>
      </c>
      <c r="S33" s="352">
        <f>+'WP-11 - Non-Regulated'!$K$40</f>
        <v>0.5539209822239638</v>
      </c>
      <c r="T33" s="350">
        <f t="shared" ref="T33:T36" si="28">S33*SUM(P33:Q33)</f>
        <v>6149.741528846891</v>
      </c>
      <c r="U33" s="350">
        <f t="shared" ref="U33:U36" si="29">IF(AA33&gt;AB33,0,IF(AC33&lt;AD33,L33,IF(AND(AC33&gt;=AD33,AC33&lt;=AB33),(L33-R33),IF(AND(AD33&lt;=AA33,AB33&gt;=AA33),0,IF(AC33&gt;AB33,((AD33-AA33)*12)*O33,0)))))</f>
        <v>77715.400000000009</v>
      </c>
      <c r="V33" s="350">
        <f t="shared" ref="V33:V36" si="30">U33*S33</f>
        <v>43048.190701928244</v>
      </c>
      <c r="W33" s="352">
        <v>1</v>
      </c>
      <c r="X33" s="350">
        <f t="shared" ref="X33:X36" si="31">V33*W33</f>
        <v>43048.190701928244</v>
      </c>
      <c r="Y33" s="350">
        <f t="shared" ref="Y33:Y36" si="32">IF(M33&gt;0,0,X33+T33*W33)*W33</f>
        <v>49197.932230775135</v>
      </c>
      <c r="Z33" s="350">
        <f t="shared" si="18"/>
        <v>12299.483057693778</v>
      </c>
      <c r="AA33" s="350">
        <f t="shared" si="12"/>
        <v>116</v>
      </c>
      <c r="AB33" s="350">
        <f t="shared" si="13"/>
        <v>124</v>
      </c>
      <c r="AC33" s="350">
        <f t="shared" si="14"/>
        <v>126</v>
      </c>
      <c r="AD33" s="350">
        <f t="shared" si="15"/>
        <v>123</v>
      </c>
      <c r="AE33" s="350">
        <f t="shared" si="16"/>
        <v>-8.3333333333333329E-2</v>
      </c>
      <c r="AF33" s="350">
        <f t="shared" ref="AF33:AF34" si="33">L33-((X33+Y33)/2)-Z33</f>
        <v>52599.455475954528</v>
      </c>
      <c r="AG33" s="350"/>
      <c r="AH33" s="350"/>
      <c r="AI33" s="350"/>
    </row>
    <row r="34" spans="2:35">
      <c r="B34" s="353" t="s">
        <v>652</v>
      </c>
      <c r="C34" s="289">
        <v>2017</v>
      </c>
      <c r="D34" s="289">
        <f t="shared" si="21"/>
        <v>117</v>
      </c>
      <c r="E34" s="289">
        <v>3</v>
      </c>
      <c r="F34" s="351">
        <v>0</v>
      </c>
      <c r="G34" s="344" t="s">
        <v>169</v>
      </c>
      <c r="H34" s="289">
        <v>10</v>
      </c>
      <c r="I34" s="289">
        <f t="shared" si="22"/>
        <v>127</v>
      </c>
      <c r="L34" s="576">
        <v>193121</v>
      </c>
      <c r="M34" s="350">
        <v>0</v>
      </c>
      <c r="N34" s="350">
        <f t="shared" si="23"/>
        <v>193121</v>
      </c>
      <c r="O34" s="350">
        <f t="shared" si="24"/>
        <v>1609.3416666666665</v>
      </c>
      <c r="P34" s="350">
        <f t="shared" si="25"/>
        <v>19312.099999999999</v>
      </c>
      <c r="Q34" s="350">
        <f t="shared" si="26"/>
        <v>0</v>
      </c>
      <c r="R34" s="350">
        <f t="shared" si="27"/>
        <v>19312.099999999999</v>
      </c>
      <c r="S34" s="352">
        <f>+'WP-11 - Non-Regulated'!$K$40</f>
        <v>0.5539209822239638</v>
      </c>
      <c r="T34" s="350">
        <f t="shared" si="28"/>
        <v>10697.377400807411</v>
      </c>
      <c r="U34" s="350">
        <f t="shared" si="29"/>
        <v>112653.91666666656</v>
      </c>
      <c r="V34" s="350">
        <f t="shared" si="30"/>
        <v>62401.368171376504</v>
      </c>
      <c r="W34" s="352">
        <v>1</v>
      </c>
      <c r="X34" s="350">
        <f t="shared" si="31"/>
        <v>62401.368171376504</v>
      </c>
      <c r="Y34" s="350">
        <f t="shared" si="32"/>
        <v>73098.745572183921</v>
      </c>
      <c r="Z34" s="350">
        <f t="shared" si="18"/>
        <v>33875.028435890199</v>
      </c>
      <c r="AA34" s="350">
        <f t="shared" si="12"/>
        <v>117.16666666666667</v>
      </c>
      <c r="AB34" s="350">
        <f t="shared" si="13"/>
        <v>124</v>
      </c>
      <c r="AC34" s="350">
        <f t="shared" si="14"/>
        <v>127.16666666666667</v>
      </c>
      <c r="AD34" s="350">
        <f t="shared" si="15"/>
        <v>123</v>
      </c>
      <c r="AE34" s="350">
        <f t="shared" si="16"/>
        <v>-8.3333333333333329E-2</v>
      </c>
      <c r="AF34" s="350">
        <f t="shared" si="33"/>
        <v>91495.914692329592</v>
      </c>
      <c r="AG34" s="350"/>
      <c r="AH34" s="350"/>
      <c r="AI34" s="350"/>
    </row>
    <row r="35" spans="2:35">
      <c r="B35" s="353" t="s">
        <v>644</v>
      </c>
      <c r="C35" s="289">
        <v>2018</v>
      </c>
      <c r="D35" s="289">
        <f t="shared" si="21"/>
        <v>118</v>
      </c>
      <c r="E35" s="289">
        <v>12</v>
      </c>
      <c r="F35" s="351">
        <v>0</v>
      </c>
      <c r="G35" s="344" t="s">
        <v>169</v>
      </c>
      <c r="H35" s="289">
        <v>10</v>
      </c>
      <c r="I35" s="289">
        <f t="shared" si="22"/>
        <v>128</v>
      </c>
      <c r="L35" s="576">
        <v>355105</v>
      </c>
      <c r="M35" s="350">
        <v>0</v>
      </c>
      <c r="N35" s="350">
        <f t="shared" si="23"/>
        <v>355105</v>
      </c>
      <c r="O35" s="350">
        <f t="shared" si="24"/>
        <v>2959.2083333333335</v>
      </c>
      <c r="P35" s="350">
        <f t="shared" si="25"/>
        <v>35510.5</v>
      </c>
      <c r="Q35" s="350">
        <f t="shared" si="26"/>
        <v>0</v>
      </c>
      <c r="R35" s="350">
        <f t="shared" si="27"/>
        <v>35510.5</v>
      </c>
      <c r="S35" s="352">
        <f>+'WP-11 - Non-Regulated'!$K$40</f>
        <v>0.5539209822239638</v>
      </c>
      <c r="T35" s="350">
        <f t="shared" si="28"/>
        <v>19670.011039264067</v>
      </c>
      <c r="U35" s="350">
        <f t="shared" si="29"/>
        <v>145001.20833333317</v>
      </c>
      <c r="V35" s="350">
        <f t="shared" si="30"/>
        <v>80319.211743661508</v>
      </c>
      <c r="W35" s="352">
        <v>1</v>
      </c>
      <c r="X35" s="350">
        <f t="shared" si="31"/>
        <v>80319.211743661508</v>
      </c>
      <c r="Y35" s="350">
        <f t="shared" si="32"/>
        <v>99989.222782925572</v>
      </c>
      <c r="Z35" s="350">
        <f t="shared" si="18"/>
        <v>96710.887609715079</v>
      </c>
      <c r="AA35" s="350">
        <f t="shared" si="12"/>
        <v>118.91666666666667</v>
      </c>
      <c r="AB35" s="350">
        <f t="shared" si="13"/>
        <v>124</v>
      </c>
      <c r="AC35" s="350">
        <f t="shared" si="14"/>
        <v>128.91666666666666</v>
      </c>
      <c r="AD35" s="350">
        <f t="shared" si="15"/>
        <v>123</v>
      </c>
      <c r="AE35" s="350">
        <f t="shared" si="16"/>
        <v>-8.3333333333333329E-2</v>
      </c>
      <c r="AF35" s="350">
        <f>L35-((X35+Y35)/2)-Z35</f>
        <v>168239.89512699135</v>
      </c>
      <c r="AG35" s="350"/>
      <c r="AH35" s="350"/>
      <c r="AI35" s="350"/>
    </row>
    <row r="36" spans="2:35">
      <c r="B36" s="353" t="s">
        <v>653</v>
      </c>
      <c r="C36" s="289">
        <v>2021</v>
      </c>
      <c r="D36" s="289">
        <f t="shared" si="21"/>
        <v>121</v>
      </c>
      <c r="E36" s="289">
        <v>7</v>
      </c>
      <c r="F36" s="351">
        <v>0</v>
      </c>
      <c r="G36" s="344" t="s">
        <v>169</v>
      </c>
      <c r="H36" s="289">
        <v>10</v>
      </c>
      <c r="I36" s="289">
        <f t="shared" si="22"/>
        <v>131</v>
      </c>
      <c r="L36" s="576">
        <v>167926.39999999999</v>
      </c>
      <c r="M36" s="350">
        <v>0</v>
      </c>
      <c r="N36" s="350">
        <f t="shared" si="23"/>
        <v>167926.39999999999</v>
      </c>
      <c r="O36" s="350">
        <f t="shared" si="24"/>
        <v>1399.3866666666665</v>
      </c>
      <c r="P36" s="350">
        <f t="shared" si="25"/>
        <v>16792.64</v>
      </c>
      <c r="Q36" s="350">
        <f t="shared" si="26"/>
        <v>0</v>
      </c>
      <c r="R36" s="350">
        <f t="shared" si="27"/>
        <v>16792.64</v>
      </c>
      <c r="S36" s="352">
        <f>+'WP-11 - Non-Regulated'!$K$40</f>
        <v>0.5539209822239638</v>
      </c>
      <c r="T36" s="350">
        <f t="shared" si="28"/>
        <v>9301.7956429334226</v>
      </c>
      <c r="U36" s="350">
        <f t="shared" si="29"/>
        <v>25188.959999999999</v>
      </c>
      <c r="V36" s="350">
        <f t="shared" si="30"/>
        <v>13952.693464400134</v>
      </c>
      <c r="W36" s="352">
        <v>1</v>
      </c>
      <c r="X36" s="350">
        <f t="shared" si="31"/>
        <v>13952.693464400134</v>
      </c>
      <c r="Y36" s="350">
        <f t="shared" si="32"/>
        <v>23254.489107333557</v>
      </c>
      <c r="Z36" s="350">
        <f t="shared" si="18"/>
        <v>69763.467322000666</v>
      </c>
      <c r="AA36" s="350">
        <f t="shared" si="12"/>
        <v>121.5</v>
      </c>
      <c r="AB36" s="350">
        <f t="shared" si="13"/>
        <v>124</v>
      </c>
      <c r="AC36" s="350">
        <f t="shared" si="14"/>
        <v>131.5</v>
      </c>
      <c r="AD36" s="350">
        <f t="shared" si="15"/>
        <v>123</v>
      </c>
      <c r="AE36" s="350">
        <f t="shared" si="16"/>
        <v>-8.3333333333333329E-2</v>
      </c>
      <c r="AF36" s="350">
        <f>L36-((X36+Y36)/2)-Z36</f>
        <v>79559.341392132497</v>
      </c>
      <c r="AG36" s="350"/>
      <c r="AH36" s="350"/>
      <c r="AI36" s="350"/>
    </row>
    <row r="37" spans="2:35">
      <c r="B37" s="815" t="s">
        <v>689</v>
      </c>
      <c r="C37" s="289">
        <v>2022</v>
      </c>
      <c r="D37" s="289">
        <f t="shared" si="21"/>
        <v>122</v>
      </c>
      <c r="E37" s="289">
        <v>5</v>
      </c>
      <c r="F37" s="351">
        <v>0</v>
      </c>
      <c r="G37" s="344" t="s">
        <v>169</v>
      </c>
      <c r="H37" s="289">
        <v>10</v>
      </c>
      <c r="I37" s="289">
        <f t="shared" si="22"/>
        <v>132</v>
      </c>
      <c r="L37" s="816">
        <v>88638.68</v>
      </c>
      <c r="M37" s="350">
        <v>0</v>
      </c>
      <c r="N37" s="350">
        <f t="shared" ref="N37:N100" si="34">L37-(+L37*F37)</f>
        <v>88638.68</v>
      </c>
      <c r="O37" s="350">
        <f t="shared" ref="O37:O100" si="35">N37/H37/12</f>
        <v>738.65566666666655</v>
      </c>
      <c r="P37" s="350">
        <f t="shared" ref="P37:P100" si="36">IF(Q37&gt;0,0,IF(OR(AA37&gt;AB37,AC37&lt;AD37),0,IF(AND(AC37&gt;=AD37,AC37&lt;=AB37),O37*((AC37-AD37)*12),IF(AND(AD37&lt;=AA37,AB37&gt;=AA37),((AB37-AA37)*12)*O37,IF(AC37&gt;AB37,12*O37,0)))))</f>
        <v>8863.8679999999986</v>
      </c>
      <c r="Q37" s="350">
        <f t="shared" ref="Q37:Q100" si="37">IF(M37=0,0,IF(AND(AE37&gt;=AD37,AE37&lt;=AC37),((AE37-AD37)*12)*O37,0))</f>
        <v>0</v>
      </c>
      <c r="R37" s="350">
        <f t="shared" ref="R37:R100" si="38">IF(Q37&gt;0,Q37,P37)</f>
        <v>8863.8679999999986</v>
      </c>
      <c r="S37" s="352">
        <f>+'WP-11 - Non-Regulated'!$K$40</f>
        <v>0.5539209822239638</v>
      </c>
      <c r="T37" s="350">
        <f t="shared" ref="T37:T100" si="39">S37*SUM(P37:Q37)</f>
        <v>4909.8824688635605</v>
      </c>
      <c r="U37" s="350">
        <f t="shared" ref="U37:U100" si="40">IF(AA37&gt;AB37,0,IF(AC37&lt;AD37,L37,IF(AND(AC37&gt;=AD37,AC37&lt;=AB37),(L37-R37),IF(AND(AD37&lt;=AA37,AB37&gt;=AA37),0,IF(AC37&gt;AB37,((AD37-AA37)*12)*O37,0)))))</f>
        <v>5909.2453333333742</v>
      </c>
      <c r="V37" s="350">
        <f t="shared" ref="V37:V100" si="41">U37*S37</f>
        <v>3273.254979242397</v>
      </c>
      <c r="W37" s="352">
        <v>1</v>
      </c>
      <c r="X37" s="350">
        <f t="shared" ref="X37:X100" si="42">V37*W37</f>
        <v>3273.254979242397</v>
      </c>
      <c r="Y37" s="350">
        <f t="shared" ref="Y37:Y100" si="43">IF(M37&gt;0,0,X37+T37*W37)*W37</f>
        <v>8183.1374481059574</v>
      </c>
      <c r="Z37" s="350">
        <f t="shared" si="18"/>
        <v>40915.687240529653</v>
      </c>
      <c r="AA37" s="350">
        <f t="shared" ref="AA37:AA100" si="44">$D37+(($E37-1)/12)</f>
        <v>122.33333333333333</v>
      </c>
      <c r="AB37" s="350">
        <f t="shared" si="13"/>
        <v>124</v>
      </c>
      <c r="AC37" s="350">
        <f t="shared" ref="AC37:AC100" si="45">$I37+(($E37-1)/12)</f>
        <v>132.33333333333334</v>
      </c>
      <c r="AD37" s="350">
        <f t="shared" si="15"/>
        <v>123</v>
      </c>
      <c r="AE37" s="350">
        <f t="shared" ref="AE37:AE100" si="46">$J37+(($K37-1)/12)</f>
        <v>-8.3333333333333329E-2</v>
      </c>
      <c r="AF37" s="350">
        <f t="shared" ref="AF37:AF100" si="47">L37-((X37+Y37)/2)-Z37</f>
        <v>41994.796545796162</v>
      </c>
      <c r="AG37" s="350"/>
      <c r="AH37" s="350"/>
      <c r="AI37" s="350"/>
    </row>
    <row r="38" spans="2:35">
      <c r="B38" s="818" t="s">
        <v>1097</v>
      </c>
      <c r="C38" s="289">
        <v>1998</v>
      </c>
      <c r="D38" s="289">
        <f t="shared" si="21"/>
        <v>98</v>
      </c>
      <c r="E38" s="289">
        <v>1</v>
      </c>
      <c r="F38" s="351">
        <v>0</v>
      </c>
      <c r="G38" s="344" t="s">
        <v>169</v>
      </c>
      <c r="H38" s="289">
        <v>10</v>
      </c>
      <c r="I38" s="289">
        <f t="shared" ref="I38:I101" si="48">D38+H38</f>
        <v>108</v>
      </c>
      <c r="L38" s="819">
        <v>7243</v>
      </c>
      <c r="M38" s="350">
        <v>0</v>
      </c>
      <c r="N38" s="350">
        <f t="shared" si="34"/>
        <v>7243</v>
      </c>
      <c r="O38" s="350">
        <f t="shared" si="35"/>
        <v>60.358333333333327</v>
      </c>
      <c r="P38" s="350">
        <f t="shared" si="36"/>
        <v>0</v>
      </c>
      <c r="Q38" s="350">
        <f t="shared" si="37"/>
        <v>0</v>
      </c>
      <c r="R38" s="350">
        <f t="shared" si="38"/>
        <v>0</v>
      </c>
      <c r="S38" s="352">
        <f>+'WP-11 - Non-Regulated'!$K$40</f>
        <v>0.5539209822239638</v>
      </c>
      <c r="T38" s="350">
        <f t="shared" si="39"/>
        <v>0</v>
      </c>
      <c r="U38" s="350">
        <f t="shared" si="40"/>
        <v>7243</v>
      </c>
      <c r="V38" s="350">
        <f t="shared" si="41"/>
        <v>4012.0496742481696</v>
      </c>
      <c r="W38" s="352">
        <v>1</v>
      </c>
      <c r="X38" s="350">
        <f t="shared" si="42"/>
        <v>4012.0496742481696</v>
      </c>
      <c r="Y38" s="350">
        <f t="shared" si="43"/>
        <v>4012.0496742481696</v>
      </c>
      <c r="Z38" s="350">
        <f t="shared" si="18"/>
        <v>0</v>
      </c>
      <c r="AA38" s="350">
        <f t="shared" si="44"/>
        <v>98</v>
      </c>
      <c r="AB38" s="350">
        <f t="shared" si="13"/>
        <v>124</v>
      </c>
      <c r="AC38" s="350">
        <f t="shared" si="45"/>
        <v>108</v>
      </c>
      <c r="AD38" s="350">
        <f t="shared" si="15"/>
        <v>123</v>
      </c>
      <c r="AE38" s="350">
        <f t="shared" si="46"/>
        <v>-8.3333333333333329E-2</v>
      </c>
      <c r="AF38" s="350">
        <f t="shared" si="47"/>
        <v>3230.9503257518304</v>
      </c>
      <c r="AG38" s="350"/>
      <c r="AH38" s="350"/>
      <c r="AI38" s="350"/>
    </row>
    <row r="39" spans="2:35">
      <c r="B39" s="818" t="s">
        <v>1098</v>
      </c>
      <c r="C39" s="289">
        <v>1998</v>
      </c>
      <c r="D39" s="289">
        <f t="shared" si="21"/>
        <v>98</v>
      </c>
      <c r="E39" s="289">
        <v>1</v>
      </c>
      <c r="F39" s="351">
        <v>0</v>
      </c>
      <c r="G39" s="344" t="s">
        <v>169</v>
      </c>
      <c r="H39" s="289">
        <v>10</v>
      </c>
      <c r="I39" s="289">
        <f t="shared" si="48"/>
        <v>108</v>
      </c>
      <c r="L39" s="819">
        <v>8426</v>
      </c>
      <c r="M39" s="350">
        <v>0</v>
      </c>
      <c r="N39" s="350">
        <f t="shared" si="34"/>
        <v>8426</v>
      </c>
      <c r="O39" s="350">
        <f t="shared" si="35"/>
        <v>70.216666666666669</v>
      </c>
      <c r="P39" s="350">
        <f t="shared" si="36"/>
        <v>0</v>
      </c>
      <c r="Q39" s="350">
        <f t="shared" si="37"/>
        <v>0</v>
      </c>
      <c r="R39" s="350">
        <f t="shared" si="38"/>
        <v>0</v>
      </c>
      <c r="S39" s="352">
        <f>+'WP-11 - Non-Regulated'!$K$40</f>
        <v>0.5539209822239638</v>
      </c>
      <c r="T39" s="350">
        <f t="shared" si="39"/>
        <v>0</v>
      </c>
      <c r="U39" s="350">
        <f t="shared" si="40"/>
        <v>8426</v>
      </c>
      <c r="V39" s="350">
        <f t="shared" si="41"/>
        <v>4667.3381962191188</v>
      </c>
      <c r="W39" s="352">
        <v>1</v>
      </c>
      <c r="X39" s="350">
        <f t="shared" si="42"/>
        <v>4667.3381962191188</v>
      </c>
      <c r="Y39" s="350">
        <f t="shared" si="43"/>
        <v>4667.3381962191188</v>
      </c>
      <c r="Z39" s="350">
        <f t="shared" si="18"/>
        <v>0</v>
      </c>
      <c r="AA39" s="350">
        <f t="shared" si="44"/>
        <v>98</v>
      </c>
      <c r="AB39" s="350">
        <f t="shared" si="13"/>
        <v>124</v>
      </c>
      <c r="AC39" s="350">
        <f t="shared" si="45"/>
        <v>108</v>
      </c>
      <c r="AD39" s="350">
        <f t="shared" si="15"/>
        <v>123</v>
      </c>
      <c r="AE39" s="350">
        <f t="shared" si="46"/>
        <v>-8.3333333333333329E-2</v>
      </c>
      <c r="AF39" s="350">
        <f t="shared" si="47"/>
        <v>3758.6618037808812</v>
      </c>
      <c r="AG39" s="350"/>
      <c r="AH39" s="350"/>
      <c r="AI39" s="350"/>
    </row>
    <row r="40" spans="2:35">
      <c r="B40" s="818" t="s">
        <v>1099</v>
      </c>
      <c r="C40" s="289">
        <v>1998</v>
      </c>
      <c r="D40" s="289">
        <f t="shared" si="21"/>
        <v>98</v>
      </c>
      <c r="E40" s="289">
        <v>1</v>
      </c>
      <c r="F40" s="351">
        <v>0</v>
      </c>
      <c r="G40" s="344" t="s">
        <v>169</v>
      </c>
      <c r="H40" s="289">
        <v>10</v>
      </c>
      <c r="I40" s="289">
        <f t="shared" si="48"/>
        <v>108</v>
      </c>
      <c r="L40" s="819">
        <v>9134</v>
      </c>
      <c r="M40" s="350">
        <v>0</v>
      </c>
      <c r="N40" s="350">
        <f t="shared" si="34"/>
        <v>9134</v>
      </c>
      <c r="O40" s="350">
        <f t="shared" si="35"/>
        <v>76.11666666666666</v>
      </c>
      <c r="P40" s="350">
        <f t="shared" si="36"/>
        <v>0</v>
      </c>
      <c r="Q40" s="350">
        <f t="shared" si="37"/>
        <v>0</v>
      </c>
      <c r="R40" s="350">
        <f t="shared" si="38"/>
        <v>0</v>
      </c>
      <c r="S40" s="352">
        <f>+'WP-11 - Non-Regulated'!$K$40</f>
        <v>0.5539209822239638</v>
      </c>
      <c r="T40" s="350">
        <f t="shared" si="39"/>
        <v>0</v>
      </c>
      <c r="U40" s="350">
        <f t="shared" si="40"/>
        <v>9134</v>
      </c>
      <c r="V40" s="350">
        <f t="shared" si="41"/>
        <v>5059.5142516336855</v>
      </c>
      <c r="W40" s="352">
        <v>1</v>
      </c>
      <c r="X40" s="350">
        <f t="shared" si="42"/>
        <v>5059.5142516336855</v>
      </c>
      <c r="Y40" s="350">
        <f t="shared" si="43"/>
        <v>5059.5142516336855</v>
      </c>
      <c r="Z40" s="350">
        <f t="shared" si="18"/>
        <v>0</v>
      </c>
      <c r="AA40" s="350">
        <f t="shared" si="44"/>
        <v>98</v>
      </c>
      <c r="AB40" s="350">
        <f t="shared" si="13"/>
        <v>124</v>
      </c>
      <c r="AC40" s="350">
        <f t="shared" si="45"/>
        <v>108</v>
      </c>
      <c r="AD40" s="350">
        <f t="shared" si="15"/>
        <v>123</v>
      </c>
      <c r="AE40" s="350">
        <f t="shared" si="46"/>
        <v>-8.3333333333333329E-2</v>
      </c>
      <c r="AF40" s="350">
        <f t="shared" si="47"/>
        <v>4074.4857483663145</v>
      </c>
      <c r="AG40" s="350"/>
      <c r="AH40" s="350"/>
      <c r="AI40" s="350"/>
    </row>
    <row r="41" spans="2:35">
      <c r="B41" s="818" t="s">
        <v>1100</v>
      </c>
      <c r="C41" s="289">
        <v>1998</v>
      </c>
      <c r="D41" s="289">
        <f t="shared" si="21"/>
        <v>98</v>
      </c>
      <c r="E41" s="289">
        <v>1</v>
      </c>
      <c r="F41" s="351">
        <v>0</v>
      </c>
      <c r="G41" s="344" t="s">
        <v>169</v>
      </c>
      <c r="H41" s="289">
        <v>10</v>
      </c>
      <c r="I41" s="289">
        <f t="shared" si="48"/>
        <v>108</v>
      </c>
      <c r="L41" s="819">
        <v>4865</v>
      </c>
      <c r="M41" s="350">
        <v>0</v>
      </c>
      <c r="N41" s="350">
        <f t="shared" si="34"/>
        <v>4865</v>
      </c>
      <c r="O41" s="350">
        <f t="shared" si="35"/>
        <v>40.541666666666664</v>
      </c>
      <c r="P41" s="350">
        <f t="shared" si="36"/>
        <v>0</v>
      </c>
      <c r="Q41" s="350">
        <f t="shared" si="37"/>
        <v>0</v>
      </c>
      <c r="R41" s="350">
        <f t="shared" si="38"/>
        <v>0</v>
      </c>
      <c r="S41" s="352">
        <f>+'WP-11 - Non-Regulated'!$K$40</f>
        <v>0.5539209822239638</v>
      </c>
      <c r="T41" s="350">
        <f t="shared" si="39"/>
        <v>0</v>
      </c>
      <c r="U41" s="350">
        <f t="shared" si="40"/>
        <v>4865</v>
      </c>
      <c r="V41" s="350">
        <f t="shared" si="41"/>
        <v>2694.8255785195838</v>
      </c>
      <c r="W41" s="352">
        <v>1</v>
      </c>
      <c r="X41" s="350">
        <f t="shared" si="42"/>
        <v>2694.8255785195838</v>
      </c>
      <c r="Y41" s="350">
        <f t="shared" si="43"/>
        <v>2694.8255785195838</v>
      </c>
      <c r="Z41" s="350">
        <f t="shared" si="18"/>
        <v>0</v>
      </c>
      <c r="AA41" s="350">
        <f t="shared" si="44"/>
        <v>98</v>
      </c>
      <c r="AB41" s="350">
        <f t="shared" si="13"/>
        <v>124</v>
      </c>
      <c r="AC41" s="350">
        <f t="shared" si="45"/>
        <v>108</v>
      </c>
      <c r="AD41" s="350">
        <f t="shared" si="15"/>
        <v>123</v>
      </c>
      <c r="AE41" s="350">
        <f t="shared" si="46"/>
        <v>-8.3333333333333329E-2</v>
      </c>
      <c r="AF41" s="350">
        <f t="shared" si="47"/>
        <v>2170.1744214804162</v>
      </c>
      <c r="AG41" s="350"/>
      <c r="AH41" s="350"/>
      <c r="AI41" s="350"/>
    </row>
    <row r="42" spans="2:35">
      <c r="B42" s="818" t="s">
        <v>1101</v>
      </c>
      <c r="C42" s="289">
        <v>1998</v>
      </c>
      <c r="D42" s="289">
        <f t="shared" si="21"/>
        <v>98</v>
      </c>
      <c r="E42" s="289">
        <v>1</v>
      </c>
      <c r="F42" s="351">
        <v>0</v>
      </c>
      <c r="G42" s="344" t="s">
        <v>169</v>
      </c>
      <c r="H42" s="289">
        <v>10</v>
      </c>
      <c r="I42" s="289">
        <f t="shared" si="48"/>
        <v>108</v>
      </c>
      <c r="L42" s="819">
        <v>16453</v>
      </c>
      <c r="M42" s="350">
        <v>0</v>
      </c>
      <c r="N42" s="350">
        <f t="shared" si="34"/>
        <v>16453</v>
      </c>
      <c r="O42" s="350">
        <f t="shared" si="35"/>
        <v>137.10833333333332</v>
      </c>
      <c r="P42" s="350">
        <f t="shared" si="36"/>
        <v>0</v>
      </c>
      <c r="Q42" s="350">
        <f t="shared" si="37"/>
        <v>0</v>
      </c>
      <c r="R42" s="350">
        <f t="shared" si="38"/>
        <v>0</v>
      </c>
      <c r="S42" s="352">
        <f>+'WP-11 - Non-Regulated'!$K$40</f>
        <v>0.5539209822239638</v>
      </c>
      <c r="T42" s="350">
        <f t="shared" si="39"/>
        <v>0</v>
      </c>
      <c r="U42" s="350">
        <f t="shared" si="40"/>
        <v>16453</v>
      </c>
      <c r="V42" s="350">
        <f t="shared" si="41"/>
        <v>9113.6619205308762</v>
      </c>
      <c r="W42" s="352">
        <v>1</v>
      </c>
      <c r="X42" s="350">
        <f t="shared" si="42"/>
        <v>9113.6619205308762</v>
      </c>
      <c r="Y42" s="350">
        <f t="shared" si="43"/>
        <v>9113.6619205308762</v>
      </c>
      <c r="Z42" s="350">
        <f t="shared" si="18"/>
        <v>0</v>
      </c>
      <c r="AA42" s="350">
        <f t="shared" si="44"/>
        <v>98</v>
      </c>
      <c r="AB42" s="350">
        <f t="shared" si="13"/>
        <v>124</v>
      </c>
      <c r="AC42" s="350">
        <f t="shared" si="45"/>
        <v>108</v>
      </c>
      <c r="AD42" s="350">
        <f t="shared" si="15"/>
        <v>123</v>
      </c>
      <c r="AE42" s="350">
        <f t="shared" si="46"/>
        <v>-8.3333333333333329E-2</v>
      </c>
      <c r="AF42" s="350">
        <f t="shared" si="47"/>
        <v>7339.3380794691238</v>
      </c>
      <c r="AG42" s="350"/>
      <c r="AH42" s="350"/>
      <c r="AI42" s="350"/>
    </row>
    <row r="43" spans="2:35">
      <c r="B43" s="818" t="s">
        <v>1102</v>
      </c>
      <c r="C43" s="289">
        <v>1998</v>
      </c>
      <c r="D43" s="289">
        <f t="shared" si="21"/>
        <v>98</v>
      </c>
      <c r="E43" s="289">
        <v>1</v>
      </c>
      <c r="F43" s="351">
        <v>0</v>
      </c>
      <c r="G43" s="344" t="s">
        <v>169</v>
      </c>
      <c r="H43" s="289">
        <v>10</v>
      </c>
      <c r="I43" s="289">
        <f t="shared" si="48"/>
        <v>108</v>
      </c>
      <c r="L43" s="819">
        <v>4929</v>
      </c>
      <c r="M43" s="350">
        <v>0</v>
      </c>
      <c r="N43" s="350">
        <f t="shared" si="34"/>
        <v>4929</v>
      </c>
      <c r="O43" s="350">
        <f t="shared" si="35"/>
        <v>41.074999999999996</v>
      </c>
      <c r="P43" s="350">
        <f t="shared" si="36"/>
        <v>0</v>
      </c>
      <c r="Q43" s="350">
        <f t="shared" si="37"/>
        <v>0</v>
      </c>
      <c r="R43" s="350">
        <f t="shared" si="38"/>
        <v>0</v>
      </c>
      <c r="S43" s="352">
        <f>+'WP-11 - Non-Regulated'!$K$40</f>
        <v>0.5539209822239638</v>
      </c>
      <c r="T43" s="350">
        <f t="shared" si="39"/>
        <v>0</v>
      </c>
      <c r="U43" s="350">
        <f t="shared" si="40"/>
        <v>4929</v>
      </c>
      <c r="V43" s="350">
        <f t="shared" si="41"/>
        <v>2730.2765213819175</v>
      </c>
      <c r="W43" s="352">
        <v>1</v>
      </c>
      <c r="X43" s="350">
        <f t="shared" si="42"/>
        <v>2730.2765213819175</v>
      </c>
      <c r="Y43" s="350">
        <f t="shared" si="43"/>
        <v>2730.2765213819175</v>
      </c>
      <c r="Z43" s="350">
        <f t="shared" si="18"/>
        <v>0</v>
      </c>
      <c r="AA43" s="350">
        <f t="shared" si="44"/>
        <v>98</v>
      </c>
      <c r="AB43" s="350">
        <f t="shared" si="13"/>
        <v>124</v>
      </c>
      <c r="AC43" s="350">
        <f t="shared" si="45"/>
        <v>108</v>
      </c>
      <c r="AD43" s="350">
        <f t="shared" si="15"/>
        <v>123</v>
      </c>
      <c r="AE43" s="350">
        <f t="shared" si="46"/>
        <v>-8.3333333333333329E-2</v>
      </c>
      <c r="AF43" s="350">
        <f t="shared" si="47"/>
        <v>2198.7234786180825</v>
      </c>
      <c r="AG43" s="350"/>
      <c r="AH43" s="350"/>
      <c r="AI43" s="350"/>
    </row>
    <row r="44" spans="2:35">
      <c r="B44" s="818" t="s">
        <v>1103</v>
      </c>
      <c r="C44" s="289">
        <v>1998</v>
      </c>
      <c r="D44" s="289">
        <f t="shared" si="21"/>
        <v>98</v>
      </c>
      <c r="E44" s="289">
        <v>1</v>
      </c>
      <c r="F44" s="351">
        <v>0</v>
      </c>
      <c r="G44" s="344" t="s">
        <v>169</v>
      </c>
      <c r="H44" s="289">
        <v>10</v>
      </c>
      <c r="I44" s="289">
        <f t="shared" si="48"/>
        <v>108</v>
      </c>
      <c r="L44" s="819">
        <v>851</v>
      </c>
      <c r="M44" s="350">
        <v>0</v>
      </c>
      <c r="N44" s="350">
        <f t="shared" si="34"/>
        <v>851</v>
      </c>
      <c r="O44" s="350">
        <f t="shared" si="35"/>
        <v>7.0916666666666659</v>
      </c>
      <c r="P44" s="350">
        <f t="shared" si="36"/>
        <v>0</v>
      </c>
      <c r="Q44" s="350">
        <f t="shared" si="37"/>
        <v>0</v>
      </c>
      <c r="R44" s="350">
        <f t="shared" si="38"/>
        <v>0</v>
      </c>
      <c r="S44" s="352">
        <f>+'WP-11 - Non-Regulated'!$K$40</f>
        <v>0.5539209822239638</v>
      </c>
      <c r="T44" s="350">
        <f t="shared" si="39"/>
        <v>0</v>
      </c>
      <c r="U44" s="350">
        <f t="shared" si="40"/>
        <v>851</v>
      </c>
      <c r="V44" s="350">
        <f t="shared" si="41"/>
        <v>471.3867558725932</v>
      </c>
      <c r="W44" s="352">
        <v>1</v>
      </c>
      <c r="X44" s="350">
        <f t="shared" si="42"/>
        <v>471.3867558725932</v>
      </c>
      <c r="Y44" s="350">
        <f t="shared" si="43"/>
        <v>471.3867558725932</v>
      </c>
      <c r="Z44" s="350">
        <f t="shared" si="18"/>
        <v>0</v>
      </c>
      <c r="AA44" s="350">
        <f t="shared" si="44"/>
        <v>98</v>
      </c>
      <c r="AB44" s="350">
        <f t="shared" si="13"/>
        <v>124</v>
      </c>
      <c r="AC44" s="350">
        <f t="shared" si="45"/>
        <v>108</v>
      </c>
      <c r="AD44" s="350">
        <f t="shared" si="15"/>
        <v>123</v>
      </c>
      <c r="AE44" s="350">
        <f t="shared" si="46"/>
        <v>-8.3333333333333329E-2</v>
      </c>
      <c r="AF44" s="350">
        <f t="shared" si="47"/>
        <v>379.6132441274068</v>
      </c>
      <c r="AG44" s="350"/>
      <c r="AH44" s="350"/>
      <c r="AI44" s="350"/>
    </row>
    <row r="45" spans="2:35">
      <c r="B45" s="818" t="s">
        <v>1104</v>
      </c>
      <c r="C45" s="289">
        <v>1998</v>
      </c>
      <c r="D45" s="289">
        <f t="shared" si="21"/>
        <v>98</v>
      </c>
      <c r="E45" s="289">
        <v>1</v>
      </c>
      <c r="F45" s="351">
        <v>0</v>
      </c>
      <c r="G45" s="344" t="s">
        <v>169</v>
      </c>
      <c r="H45" s="289">
        <v>10</v>
      </c>
      <c r="I45" s="289">
        <f t="shared" si="48"/>
        <v>108</v>
      </c>
      <c r="L45" s="819">
        <v>11351</v>
      </c>
      <c r="M45" s="350">
        <v>0</v>
      </c>
      <c r="N45" s="350">
        <f t="shared" si="34"/>
        <v>11351</v>
      </c>
      <c r="O45" s="350">
        <f t="shared" si="35"/>
        <v>94.591666666666654</v>
      </c>
      <c r="P45" s="350">
        <f t="shared" si="36"/>
        <v>0</v>
      </c>
      <c r="Q45" s="350">
        <f t="shared" si="37"/>
        <v>0</v>
      </c>
      <c r="R45" s="350">
        <f t="shared" si="38"/>
        <v>0</v>
      </c>
      <c r="S45" s="352">
        <f>+'WP-11 - Non-Regulated'!$K$40</f>
        <v>0.5539209822239638</v>
      </c>
      <c r="T45" s="350">
        <f t="shared" si="39"/>
        <v>0</v>
      </c>
      <c r="U45" s="350">
        <f t="shared" si="40"/>
        <v>11351</v>
      </c>
      <c r="V45" s="350">
        <f t="shared" si="41"/>
        <v>6287.5570692242127</v>
      </c>
      <c r="W45" s="352">
        <v>1</v>
      </c>
      <c r="X45" s="350">
        <f t="shared" si="42"/>
        <v>6287.5570692242127</v>
      </c>
      <c r="Y45" s="350">
        <f t="shared" si="43"/>
        <v>6287.5570692242127</v>
      </c>
      <c r="Z45" s="350">
        <f t="shared" si="18"/>
        <v>0</v>
      </c>
      <c r="AA45" s="350">
        <f t="shared" si="44"/>
        <v>98</v>
      </c>
      <c r="AB45" s="350">
        <f t="shared" si="13"/>
        <v>124</v>
      </c>
      <c r="AC45" s="350">
        <f t="shared" si="45"/>
        <v>108</v>
      </c>
      <c r="AD45" s="350">
        <f t="shared" si="15"/>
        <v>123</v>
      </c>
      <c r="AE45" s="350">
        <f t="shared" si="46"/>
        <v>-8.3333333333333329E-2</v>
      </c>
      <c r="AF45" s="350">
        <f t="shared" si="47"/>
        <v>5063.4429307757873</v>
      </c>
      <c r="AG45" s="350"/>
      <c r="AH45" s="350"/>
      <c r="AI45" s="350"/>
    </row>
    <row r="46" spans="2:35">
      <c r="B46" s="818" t="s">
        <v>1105</v>
      </c>
      <c r="C46" s="289">
        <v>1998</v>
      </c>
      <c r="D46" s="289">
        <f t="shared" si="21"/>
        <v>98</v>
      </c>
      <c r="E46" s="289">
        <v>1</v>
      </c>
      <c r="F46" s="351">
        <v>0</v>
      </c>
      <c r="G46" s="344" t="s">
        <v>169</v>
      </c>
      <c r="H46" s="289">
        <v>10</v>
      </c>
      <c r="I46" s="289">
        <f t="shared" si="48"/>
        <v>108</v>
      </c>
      <c r="L46" s="819">
        <v>276</v>
      </c>
      <c r="M46" s="350">
        <v>0</v>
      </c>
      <c r="N46" s="350">
        <f t="shared" si="34"/>
        <v>276</v>
      </c>
      <c r="O46" s="350">
        <f t="shared" si="35"/>
        <v>2.3000000000000003</v>
      </c>
      <c r="P46" s="350">
        <f t="shared" si="36"/>
        <v>0</v>
      </c>
      <c r="Q46" s="350">
        <f t="shared" si="37"/>
        <v>0</v>
      </c>
      <c r="R46" s="350">
        <f t="shared" si="38"/>
        <v>0</v>
      </c>
      <c r="S46" s="352">
        <f>+'WP-11 - Non-Regulated'!$K$40</f>
        <v>0.5539209822239638</v>
      </c>
      <c r="T46" s="350">
        <f t="shared" si="39"/>
        <v>0</v>
      </c>
      <c r="U46" s="350">
        <f t="shared" si="40"/>
        <v>276</v>
      </c>
      <c r="V46" s="350">
        <f t="shared" si="41"/>
        <v>152.88219109381401</v>
      </c>
      <c r="W46" s="352">
        <v>1</v>
      </c>
      <c r="X46" s="350">
        <f t="shared" si="42"/>
        <v>152.88219109381401</v>
      </c>
      <c r="Y46" s="350">
        <f t="shared" si="43"/>
        <v>152.88219109381401</v>
      </c>
      <c r="Z46" s="350">
        <f t="shared" si="18"/>
        <v>0</v>
      </c>
      <c r="AA46" s="350">
        <f t="shared" si="44"/>
        <v>98</v>
      </c>
      <c r="AB46" s="350">
        <f t="shared" si="13"/>
        <v>124</v>
      </c>
      <c r="AC46" s="350">
        <f t="shared" si="45"/>
        <v>108</v>
      </c>
      <c r="AD46" s="350">
        <f t="shared" si="15"/>
        <v>123</v>
      </c>
      <c r="AE46" s="350">
        <f t="shared" si="46"/>
        <v>-8.3333333333333329E-2</v>
      </c>
      <c r="AF46" s="350">
        <f t="shared" si="47"/>
        <v>123.11780890618599</v>
      </c>
      <c r="AG46" s="350"/>
      <c r="AH46" s="350"/>
      <c r="AI46" s="350"/>
    </row>
    <row r="47" spans="2:35">
      <c r="B47" s="818" t="s">
        <v>1106</v>
      </c>
      <c r="C47" s="289">
        <v>1998</v>
      </c>
      <c r="D47" s="289">
        <f t="shared" si="21"/>
        <v>98</v>
      </c>
      <c r="E47" s="289">
        <v>1</v>
      </c>
      <c r="F47" s="351">
        <v>0</v>
      </c>
      <c r="G47" s="344" t="s">
        <v>169</v>
      </c>
      <c r="H47" s="289">
        <v>10</v>
      </c>
      <c r="I47" s="289">
        <f t="shared" si="48"/>
        <v>108</v>
      </c>
      <c r="L47" s="819">
        <v>8372</v>
      </c>
      <c r="M47" s="350">
        <v>0</v>
      </c>
      <c r="N47" s="350">
        <f t="shared" si="34"/>
        <v>8372</v>
      </c>
      <c r="O47" s="350">
        <f t="shared" si="35"/>
        <v>69.766666666666666</v>
      </c>
      <c r="P47" s="350">
        <f t="shared" si="36"/>
        <v>0</v>
      </c>
      <c r="Q47" s="350">
        <f t="shared" si="37"/>
        <v>0</v>
      </c>
      <c r="R47" s="350">
        <f t="shared" si="38"/>
        <v>0</v>
      </c>
      <c r="S47" s="352">
        <f>+'WP-11 - Non-Regulated'!$K$40</f>
        <v>0.5539209822239638</v>
      </c>
      <c r="T47" s="350">
        <f t="shared" si="39"/>
        <v>0</v>
      </c>
      <c r="U47" s="350">
        <f t="shared" si="40"/>
        <v>8372</v>
      </c>
      <c r="V47" s="350">
        <f t="shared" si="41"/>
        <v>4637.4264631790247</v>
      </c>
      <c r="W47" s="352">
        <v>1</v>
      </c>
      <c r="X47" s="350">
        <f t="shared" si="42"/>
        <v>4637.4264631790247</v>
      </c>
      <c r="Y47" s="350">
        <f t="shared" si="43"/>
        <v>4637.4264631790247</v>
      </c>
      <c r="Z47" s="350">
        <f t="shared" si="18"/>
        <v>0</v>
      </c>
      <c r="AA47" s="350">
        <f t="shared" si="44"/>
        <v>98</v>
      </c>
      <c r="AB47" s="350">
        <f t="shared" si="13"/>
        <v>124</v>
      </c>
      <c r="AC47" s="350">
        <f t="shared" si="45"/>
        <v>108</v>
      </c>
      <c r="AD47" s="350">
        <f t="shared" si="15"/>
        <v>123</v>
      </c>
      <c r="AE47" s="350">
        <f t="shared" si="46"/>
        <v>-8.3333333333333329E-2</v>
      </c>
      <c r="AF47" s="350">
        <f t="shared" si="47"/>
        <v>3734.5735368209753</v>
      </c>
      <c r="AG47" s="350"/>
      <c r="AH47" s="350"/>
      <c r="AI47" s="350"/>
    </row>
    <row r="48" spans="2:35">
      <c r="B48" s="818" t="s">
        <v>1107</v>
      </c>
      <c r="C48" s="289">
        <v>1998</v>
      </c>
      <c r="D48" s="289">
        <f t="shared" si="21"/>
        <v>98</v>
      </c>
      <c r="E48" s="289">
        <v>1</v>
      </c>
      <c r="F48" s="351">
        <v>0</v>
      </c>
      <c r="G48" s="344" t="s">
        <v>169</v>
      </c>
      <c r="H48" s="289">
        <v>10</v>
      </c>
      <c r="I48" s="289">
        <f t="shared" si="48"/>
        <v>108</v>
      </c>
      <c r="L48" s="819">
        <v>10491</v>
      </c>
      <c r="M48" s="350">
        <v>0</v>
      </c>
      <c r="N48" s="350">
        <f t="shared" si="34"/>
        <v>10491</v>
      </c>
      <c r="O48" s="350">
        <f t="shared" si="35"/>
        <v>87.424999999999997</v>
      </c>
      <c r="P48" s="350">
        <f t="shared" si="36"/>
        <v>0</v>
      </c>
      <c r="Q48" s="350">
        <f t="shared" si="37"/>
        <v>0</v>
      </c>
      <c r="R48" s="350">
        <f t="shared" si="38"/>
        <v>0</v>
      </c>
      <c r="S48" s="352">
        <f>+'WP-11 - Non-Regulated'!$K$40</f>
        <v>0.5539209822239638</v>
      </c>
      <c r="T48" s="350">
        <f t="shared" si="39"/>
        <v>0</v>
      </c>
      <c r="U48" s="350">
        <f t="shared" si="40"/>
        <v>10491</v>
      </c>
      <c r="V48" s="350">
        <f t="shared" si="41"/>
        <v>5811.1850245116038</v>
      </c>
      <c r="W48" s="352">
        <v>1</v>
      </c>
      <c r="X48" s="350">
        <f t="shared" si="42"/>
        <v>5811.1850245116038</v>
      </c>
      <c r="Y48" s="350">
        <f t="shared" si="43"/>
        <v>5811.1850245116038</v>
      </c>
      <c r="Z48" s="350">
        <f t="shared" si="18"/>
        <v>0</v>
      </c>
      <c r="AA48" s="350">
        <f t="shared" si="44"/>
        <v>98</v>
      </c>
      <c r="AB48" s="350">
        <f t="shared" si="13"/>
        <v>124</v>
      </c>
      <c r="AC48" s="350">
        <f t="shared" si="45"/>
        <v>108</v>
      </c>
      <c r="AD48" s="350">
        <f t="shared" si="15"/>
        <v>123</v>
      </c>
      <c r="AE48" s="350">
        <f t="shared" si="46"/>
        <v>-8.3333333333333329E-2</v>
      </c>
      <c r="AF48" s="350">
        <f t="shared" si="47"/>
        <v>4679.8149754883962</v>
      </c>
      <c r="AG48" s="350"/>
      <c r="AH48" s="350"/>
      <c r="AI48" s="350"/>
    </row>
    <row r="49" spans="2:35">
      <c r="B49" s="818" t="s">
        <v>1108</v>
      </c>
      <c r="C49" s="289">
        <v>1999</v>
      </c>
      <c r="D49" s="289">
        <f t="shared" si="21"/>
        <v>99</v>
      </c>
      <c r="E49" s="289">
        <v>1</v>
      </c>
      <c r="F49" s="351">
        <v>0</v>
      </c>
      <c r="G49" s="344" t="s">
        <v>169</v>
      </c>
      <c r="H49" s="289">
        <v>10</v>
      </c>
      <c r="I49" s="289">
        <f t="shared" si="48"/>
        <v>109</v>
      </c>
      <c r="L49" s="819">
        <v>10637</v>
      </c>
      <c r="M49" s="350">
        <v>0</v>
      </c>
      <c r="N49" s="350">
        <f t="shared" si="34"/>
        <v>10637</v>
      </c>
      <c r="O49" s="350">
        <f t="shared" si="35"/>
        <v>88.641666666666666</v>
      </c>
      <c r="P49" s="350">
        <f t="shared" si="36"/>
        <v>0</v>
      </c>
      <c r="Q49" s="350">
        <f t="shared" si="37"/>
        <v>0</v>
      </c>
      <c r="R49" s="350">
        <f t="shared" si="38"/>
        <v>0</v>
      </c>
      <c r="S49" s="352">
        <f>+'WP-11 - Non-Regulated'!$K$40</f>
        <v>0.5539209822239638</v>
      </c>
      <c r="T49" s="350">
        <f t="shared" si="39"/>
        <v>0</v>
      </c>
      <c r="U49" s="350">
        <f t="shared" si="40"/>
        <v>10637</v>
      </c>
      <c r="V49" s="350">
        <f t="shared" si="41"/>
        <v>5892.0574879163032</v>
      </c>
      <c r="W49" s="352">
        <v>1</v>
      </c>
      <c r="X49" s="350">
        <f t="shared" si="42"/>
        <v>5892.0574879163032</v>
      </c>
      <c r="Y49" s="350">
        <f t="shared" si="43"/>
        <v>5892.0574879163032</v>
      </c>
      <c r="Z49" s="350">
        <f t="shared" si="18"/>
        <v>0</v>
      </c>
      <c r="AA49" s="350">
        <f t="shared" si="44"/>
        <v>99</v>
      </c>
      <c r="AB49" s="350">
        <f t="shared" si="13"/>
        <v>124</v>
      </c>
      <c r="AC49" s="350">
        <f t="shared" si="45"/>
        <v>109</v>
      </c>
      <c r="AD49" s="350">
        <f t="shared" si="15"/>
        <v>123</v>
      </c>
      <c r="AE49" s="350">
        <f t="shared" si="46"/>
        <v>-8.3333333333333329E-2</v>
      </c>
      <c r="AF49" s="350">
        <f t="shared" si="47"/>
        <v>4744.9425120836968</v>
      </c>
      <c r="AG49" s="350"/>
      <c r="AH49" s="350"/>
      <c r="AI49" s="350"/>
    </row>
    <row r="50" spans="2:35">
      <c r="B50" s="818" t="s">
        <v>1109</v>
      </c>
      <c r="C50" s="289">
        <v>1999</v>
      </c>
      <c r="D50" s="289">
        <f t="shared" si="21"/>
        <v>99</v>
      </c>
      <c r="E50" s="289">
        <v>1</v>
      </c>
      <c r="F50" s="351">
        <v>0</v>
      </c>
      <c r="G50" s="344" t="s">
        <v>169</v>
      </c>
      <c r="H50" s="289">
        <v>10</v>
      </c>
      <c r="I50" s="289">
        <f t="shared" si="48"/>
        <v>109</v>
      </c>
      <c r="L50" s="819">
        <v>5124</v>
      </c>
      <c r="M50" s="350">
        <v>0</v>
      </c>
      <c r="N50" s="350">
        <f t="shared" si="34"/>
        <v>5124</v>
      </c>
      <c r="O50" s="350">
        <f t="shared" si="35"/>
        <v>42.699999999999996</v>
      </c>
      <c r="P50" s="350">
        <f t="shared" si="36"/>
        <v>0</v>
      </c>
      <c r="Q50" s="350">
        <f t="shared" si="37"/>
        <v>0</v>
      </c>
      <c r="R50" s="350">
        <f t="shared" si="38"/>
        <v>0</v>
      </c>
      <c r="S50" s="352">
        <f>+'WP-11 - Non-Regulated'!$K$40</f>
        <v>0.5539209822239638</v>
      </c>
      <c r="T50" s="350">
        <f t="shared" si="39"/>
        <v>0</v>
      </c>
      <c r="U50" s="350">
        <f t="shared" si="40"/>
        <v>5124</v>
      </c>
      <c r="V50" s="350">
        <f t="shared" si="41"/>
        <v>2838.2911129155905</v>
      </c>
      <c r="W50" s="352">
        <v>1</v>
      </c>
      <c r="X50" s="350">
        <f t="shared" si="42"/>
        <v>2838.2911129155905</v>
      </c>
      <c r="Y50" s="350">
        <f t="shared" si="43"/>
        <v>2838.2911129155905</v>
      </c>
      <c r="Z50" s="350">
        <f t="shared" si="18"/>
        <v>0</v>
      </c>
      <c r="AA50" s="350">
        <f t="shared" si="44"/>
        <v>99</v>
      </c>
      <c r="AB50" s="350">
        <f t="shared" si="13"/>
        <v>124</v>
      </c>
      <c r="AC50" s="350">
        <f t="shared" si="45"/>
        <v>109</v>
      </c>
      <c r="AD50" s="350">
        <f t="shared" si="15"/>
        <v>123</v>
      </c>
      <c r="AE50" s="350">
        <f t="shared" si="46"/>
        <v>-8.3333333333333329E-2</v>
      </c>
      <c r="AF50" s="350">
        <f t="shared" si="47"/>
        <v>2285.7088870844095</v>
      </c>
      <c r="AG50" s="350"/>
      <c r="AH50" s="350"/>
      <c r="AI50" s="350"/>
    </row>
    <row r="51" spans="2:35">
      <c r="B51" s="818" t="s">
        <v>1110</v>
      </c>
      <c r="C51" s="289">
        <v>1999</v>
      </c>
      <c r="D51" s="289">
        <f t="shared" si="21"/>
        <v>99</v>
      </c>
      <c r="E51" s="289">
        <v>1</v>
      </c>
      <c r="F51" s="351">
        <v>0</v>
      </c>
      <c r="G51" s="344" t="s">
        <v>169</v>
      </c>
      <c r="H51" s="289">
        <v>10</v>
      </c>
      <c r="I51" s="289">
        <f t="shared" si="48"/>
        <v>109</v>
      </c>
      <c r="L51" s="819">
        <v>42959</v>
      </c>
      <c r="M51" s="350">
        <v>0</v>
      </c>
      <c r="N51" s="350">
        <f t="shared" si="34"/>
        <v>42959</v>
      </c>
      <c r="O51" s="350">
        <f t="shared" si="35"/>
        <v>357.99166666666662</v>
      </c>
      <c r="P51" s="350">
        <f t="shared" si="36"/>
        <v>0</v>
      </c>
      <c r="Q51" s="350">
        <f t="shared" si="37"/>
        <v>0</v>
      </c>
      <c r="R51" s="350">
        <f t="shared" si="38"/>
        <v>0</v>
      </c>
      <c r="S51" s="352">
        <f>+'WP-11 - Non-Regulated'!$K$40</f>
        <v>0.5539209822239638</v>
      </c>
      <c r="T51" s="350">
        <f t="shared" si="39"/>
        <v>0</v>
      </c>
      <c r="U51" s="350">
        <f t="shared" si="40"/>
        <v>42959</v>
      </c>
      <c r="V51" s="350">
        <f t="shared" si="41"/>
        <v>23795.891475359262</v>
      </c>
      <c r="W51" s="352">
        <v>1</v>
      </c>
      <c r="X51" s="350">
        <f t="shared" si="42"/>
        <v>23795.891475359262</v>
      </c>
      <c r="Y51" s="350">
        <f t="shared" si="43"/>
        <v>23795.891475359262</v>
      </c>
      <c r="Z51" s="350">
        <f t="shared" si="18"/>
        <v>0</v>
      </c>
      <c r="AA51" s="350">
        <f t="shared" si="44"/>
        <v>99</v>
      </c>
      <c r="AB51" s="350">
        <f t="shared" si="13"/>
        <v>124</v>
      </c>
      <c r="AC51" s="350">
        <f t="shared" si="45"/>
        <v>109</v>
      </c>
      <c r="AD51" s="350">
        <f t="shared" si="15"/>
        <v>123</v>
      </c>
      <c r="AE51" s="350">
        <f t="shared" si="46"/>
        <v>-8.3333333333333329E-2</v>
      </c>
      <c r="AF51" s="350">
        <f t="shared" si="47"/>
        <v>19163.108524640738</v>
      </c>
      <c r="AG51" s="350"/>
      <c r="AH51" s="350"/>
      <c r="AI51" s="350"/>
    </row>
    <row r="52" spans="2:35">
      <c r="B52" s="818" t="s">
        <v>1107</v>
      </c>
      <c r="C52" s="289">
        <v>1999</v>
      </c>
      <c r="D52" s="289">
        <f t="shared" si="21"/>
        <v>99</v>
      </c>
      <c r="E52" s="289">
        <v>1</v>
      </c>
      <c r="F52" s="351">
        <v>0</v>
      </c>
      <c r="G52" s="344" t="s">
        <v>169</v>
      </c>
      <c r="H52" s="289">
        <v>10</v>
      </c>
      <c r="I52" s="289">
        <f t="shared" si="48"/>
        <v>109</v>
      </c>
      <c r="L52" s="819">
        <v>10518</v>
      </c>
      <c r="M52" s="350">
        <v>0</v>
      </c>
      <c r="N52" s="350">
        <f t="shared" si="34"/>
        <v>10518</v>
      </c>
      <c r="O52" s="350">
        <f t="shared" si="35"/>
        <v>87.649999999999991</v>
      </c>
      <c r="P52" s="350">
        <f t="shared" si="36"/>
        <v>0</v>
      </c>
      <c r="Q52" s="350">
        <f t="shared" si="37"/>
        <v>0</v>
      </c>
      <c r="R52" s="350">
        <f t="shared" si="38"/>
        <v>0</v>
      </c>
      <c r="S52" s="352">
        <f>+'WP-11 - Non-Regulated'!$K$40</f>
        <v>0.5539209822239638</v>
      </c>
      <c r="T52" s="350">
        <f t="shared" si="39"/>
        <v>0</v>
      </c>
      <c r="U52" s="350">
        <f t="shared" si="40"/>
        <v>10518</v>
      </c>
      <c r="V52" s="350">
        <f t="shared" si="41"/>
        <v>5826.1408910316513</v>
      </c>
      <c r="W52" s="352">
        <v>1</v>
      </c>
      <c r="X52" s="350">
        <f t="shared" si="42"/>
        <v>5826.1408910316513</v>
      </c>
      <c r="Y52" s="350">
        <f t="shared" si="43"/>
        <v>5826.1408910316513</v>
      </c>
      <c r="Z52" s="350">
        <f t="shared" si="18"/>
        <v>0</v>
      </c>
      <c r="AA52" s="350">
        <f t="shared" si="44"/>
        <v>99</v>
      </c>
      <c r="AB52" s="350">
        <f t="shared" si="13"/>
        <v>124</v>
      </c>
      <c r="AC52" s="350">
        <f t="shared" si="45"/>
        <v>109</v>
      </c>
      <c r="AD52" s="350">
        <f t="shared" si="15"/>
        <v>123</v>
      </c>
      <c r="AE52" s="350">
        <f t="shared" si="46"/>
        <v>-8.3333333333333329E-2</v>
      </c>
      <c r="AF52" s="350">
        <f t="shared" si="47"/>
        <v>4691.8591089683487</v>
      </c>
      <c r="AG52" s="350"/>
      <c r="AH52" s="350"/>
      <c r="AI52" s="350"/>
    </row>
    <row r="53" spans="2:35">
      <c r="B53" s="818" t="s">
        <v>1111</v>
      </c>
      <c r="C53" s="289">
        <v>1999</v>
      </c>
      <c r="D53" s="289">
        <f t="shared" si="21"/>
        <v>99</v>
      </c>
      <c r="E53" s="289">
        <v>1</v>
      </c>
      <c r="F53" s="351">
        <v>0</v>
      </c>
      <c r="G53" s="344" t="s">
        <v>169</v>
      </c>
      <c r="H53" s="289">
        <v>10</v>
      </c>
      <c r="I53" s="289">
        <f t="shared" si="48"/>
        <v>109</v>
      </c>
      <c r="L53" s="819">
        <v>3016</v>
      </c>
      <c r="M53" s="350">
        <v>0</v>
      </c>
      <c r="N53" s="350">
        <f t="shared" si="34"/>
        <v>3016</v>
      </c>
      <c r="O53" s="350">
        <f t="shared" si="35"/>
        <v>25.133333333333336</v>
      </c>
      <c r="P53" s="350">
        <f t="shared" si="36"/>
        <v>0</v>
      </c>
      <c r="Q53" s="350">
        <f t="shared" si="37"/>
        <v>0</v>
      </c>
      <c r="R53" s="350">
        <f t="shared" si="38"/>
        <v>0</v>
      </c>
      <c r="S53" s="352">
        <f>+'WP-11 - Non-Regulated'!$K$40</f>
        <v>0.5539209822239638</v>
      </c>
      <c r="T53" s="350">
        <f t="shared" si="39"/>
        <v>0</v>
      </c>
      <c r="U53" s="350">
        <f t="shared" si="40"/>
        <v>3016</v>
      </c>
      <c r="V53" s="350">
        <f t="shared" si="41"/>
        <v>1670.6256823874749</v>
      </c>
      <c r="W53" s="352">
        <v>1</v>
      </c>
      <c r="X53" s="350">
        <f t="shared" si="42"/>
        <v>1670.6256823874749</v>
      </c>
      <c r="Y53" s="350">
        <f t="shared" si="43"/>
        <v>1670.6256823874749</v>
      </c>
      <c r="Z53" s="350">
        <f t="shared" si="18"/>
        <v>0</v>
      </c>
      <c r="AA53" s="350">
        <f t="shared" si="44"/>
        <v>99</v>
      </c>
      <c r="AB53" s="350">
        <f t="shared" si="13"/>
        <v>124</v>
      </c>
      <c r="AC53" s="350">
        <f t="shared" si="45"/>
        <v>109</v>
      </c>
      <c r="AD53" s="350">
        <f t="shared" si="15"/>
        <v>123</v>
      </c>
      <c r="AE53" s="350">
        <f t="shared" si="46"/>
        <v>-8.3333333333333329E-2</v>
      </c>
      <c r="AF53" s="350">
        <f t="shared" si="47"/>
        <v>1345.3743176125251</v>
      </c>
      <c r="AG53" s="350"/>
      <c r="AH53" s="350"/>
      <c r="AI53" s="350"/>
    </row>
    <row r="54" spans="2:35">
      <c r="B54" s="818" t="s">
        <v>1112</v>
      </c>
      <c r="C54" s="289">
        <v>1999</v>
      </c>
      <c r="D54" s="289">
        <f t="shared" si="21"/>
        <v>99</v>
      </c>
      <c r="E54" s="289">
        <v>1</v>
      </c>
      <c r="F54" s="351">
        <v>0</v>
      </c>
      <c r="G54" s="344" t="s">
        <v>169</v>
      </c>
      <c r="H54" s="289">
        <v>10</v>
      </c>
      <c r="I54" s="289">
        <f t="shared" si="48"/>
        <v>109</v>
      </c>
      <c r="L54" s="819">
        <v>2710</v>
      </c>
      <c r="M54" s="350">
        <v>0</v>
      </c>
      <c r="N54" s="350">
        <f t="shared" si="34"/>
        <v>2710</v>
      </c>
      <c r="O54" s="350">
        <f t="shared" si="35"/>
        <v>22.583333333333332</v>
      </c>
      <c r="P54" s="350">
        <f t="shared" si="36"/>
        <v>0</v>
      </c>
      <c r="Q54" s="350">
        <f t="shared" si="37"/>
        <v>0</v>
      </c>
      <c r="R54" s="350">
        <f t="shared" si="38"/>
        <v>0</v>
      </c>
      <c r="S54" s="352">
        <f>+'WP-11 - Non-Regulated'!$K$40</f>
        <v>0.5539209822239638</v>
      </c>
      <c r="T54" s="350">
        <f t="shared" si="39"/>
        <v>0</v>
      </c>
      <c r="U54" s="350">
        <f t="shared" si="40"/>
        <v>2710</v>
      </c>
      <c r="V54" s="350">
        <f t="shared" si="41"/>
        <v>1501.1258618269419</v>
      </c>
      <c r="W54" s="352">
        <v>1</v>
      </c>
      <c r="X54" s="350">
        <f t="shared" si="42"/>
        <v>1501.1258618269419</v>
      </c>
      <c r="Y54" s="350">
        <f t="shared" si="43"/>
        <v>1501.1258618269419</v>
      </c>
      <c r="Z54" s="350">
        <f t="shared" si="18"/>
        <v>0</v>
      </c>
      <c r="AA54" s="350">
        <f t="shared" si="44"/>
        <v>99</v>
      </c>
      <c r="AB54" s="350">
        <f t="shared" si="13"/>
        <v>124</v>
      </c>
      <c r="AC54" s="350">
        <f t="shared" si="45"/>
        <v>109</v>
      </c>
      <c r="AD54" s="350">
        <f t="shared" si="15"/>
        <v>123</v>
      </c>
      <c r="AE54" s="350">
        <f t="shared" si="46"/>
        <v>-8.3333333333333329E-2</v>
      </c>
      <c r="AF54" s="350">
        <f t="shared" si="47"/>
        <v>1208.8741381730581</v>
      </c>
      <c r="AG54" s="350"/>
      <c r="AH54" s="350"/>
      <c r="AI54" s="350"/>
    </row>
    <row r="55" spans="2:35">
      <c r="B55" s="818" t="s">
        <v>1113</v>
      </c>
      <c r="C55" s="289">
        <v>1999</v>
      </c>
      <c r="D55" s="289">
        <f t="shared" si="21"/>
        <v>99</v>
      </c>
      <c r="E55" s="289">
        <v>1</v>
      </c>
      <c r="F55" s="351">
        <v>0</v>
      </c>
      <c r="G55" s="344" t="s">
        <v>169</v>
      </c>
      <c r="H55" s="289">
        <v>10</v>
      </c>
      <c r="I55" s="289">
        <f t="shared" si="48"/>
        <v>109</v>
      </c>
      <c r="L55" s="819">
        <v>8675</v>
      </c>
      <c r="M55" s="350">
        <v>0</v>
      </c>
      <c r="N55" s="350">
        <f t="shared" si="34"/>
        <v>8675</v>
      </c>
      <c r="O55" s="350">
        <f t="shared" si="35"/>
        <v>72.291666666666671</v>
      </c>
      <c r="P55" s="350">
        <f t="shared" si="36"/>
        <v>0</v>
      </c>
      <c r="Q55" s="350">
        <f t="shared" si="37"/>
        <v>0</v>
      </c>
      <c r="R55" s="350">
        <f t="shared" si="38"/>
        <v>0</v>
      </c>
      <c r="S55" s="352">
        <f>+'WP-11 - Non-Regulated'!$K$40</f>
        <v>0.5539209822239638</v>
      </c>
      <c r="T55" s="350">
        <f t="shared" si="39"/>
        <v>0</v>
      </c>
      <c r="U55" s="350">
        <f t="shared" si="40"/>
        <v>8675</v>
      </c>
      <c r="V55" s="350">
        <f t="shared" si="41"/>
        <v>4805.2645207928863</v>
      </c>
      <c r="W55" s="352">
        <v>1</v>
      </c>
      <c r="X55" s="350">
        <f t="shared" si="42"/>
        <v>4805.2645207928863</v>
      </c>
      <c r="Y55" s="350">
        <f t="shared" si="43"/>
        <v>4805.2645207928863</v>
      </c>
      <c r="Z55" s="350">
        <f t="shared" si="18"/>
        <v>0</v>
      </c>
      <c r="AA55" s="350">
        <f t="shared" si="44"/>
        <v>99</v>
      </c>
      <c r="AB55" s="350">
        <f t="shared" si="13"/>
        <v>124</v>
      </c>
      <c r="AC55" s="350">
        <f t="shared" si="45"/>
        <v>109</v>
      </c>
      <c r="AD55" s="350">
        <f t="shared" si="15"/>
        <v>123</v>
      </c>
      <c r="AE55" s="350">
        <f t="shared" si="46"/>
        <v>-8.3333333333333329E-2</v>
      </c>
      <c r="AF55" s="350">
        <f t="shared" si="47"/>
        <v>3869.7354792071137</v>
      </c>
      <c r="AG55" s="350"/>
      <c r="AH55" s="350"/>
      <c r="AI55" s="350"/>
    </row>
    <row r="56" spans="2:35">
      <c r="B56" s="818" t="s">
        <v>1114</v>
      </c>
      <c r="C56" s="289">
        <v>1999</v>
      </c>
      <c r="D56" s="289">
        <f t="shared" si="21"/>
        <v>99</v>
      </c>
      <c r="E56" s="289">
        <v>1</v>
      </c>
      <c r="F56" s="351">
        <v>0</v>
      </c>
      <c r="G56" s="344" t="s">
        <v>169</v>
      </c>
      <c r="H56" s="289">
        <v>10</v>
      </c>
      <c r="I56" s="289">
        <f t="shared" si="48"/>
        <v>109</v>
      </c>
      <c r="L56" s="819">
        <v>11291</v>
      </c>
      <c r="M56" s="350">
        <v>0</v>
      </c>
      <c r="N56" s="350">
        <f t="shared" si="34"/>
        <v>11291</v>
      </c>
      <c r="O56" s="350">
        <f t="shared" si="35"/>
        <v>94.091666666666654</v>
      </c>
      <c r="P56" s="350">
        <f t="shared" si="36"/>
        <v>0</v>
      </c>
      <c r="Q56" s="350">
        <f t="shared" si="37"/>
        <v>0</v>
      </c>
      <c r="R56" s="350">
        <f t="shared" si="38"/>
        <v>0</v>
      </c>
      <c r="S56" s="352">
        <f>+'WP-11 - Non-Regulated'!$K$40</f>
        <v>0.5539209822239638</v>
      </c>
      <c r="T56" s="350">
        <f t="shared" si="39"/>
        <v>0</v>
      </c>
      <c r="U56" s="350">
        <f t="shared" si="40"/>
        <v>11291</v>
      </c>
      <c r="V56" s="350">
        <f t="shared" si="41"/>
        <v>6254.3218102907749</v>
      </c>
      <c r="W56" s="352">
        <v>1</v>
      </c>
      <c r="X56" s="350">
        <f t="shared" si="42"/>
        <v>6254.3218102907749</v>
      </c>
      <c r="Y56" s="350">
        <f t="shared" si="43"/>
        <v>6254.3218102907749</v>
      </c>
      <c r="Z56" s="350">
        <f t="shared" si="18"/>
        <v>0</v>
      </c>
      <c r="AA56" s="350">
        <f t="shared" si="44"/>
        <v>99</v>
      </c>
      <c r="AB56" s="350">
        <f t="shared" si="13"/>
        <v>124</v>
      </c>
      <c r="AC56" s="350">
        <f t="shared" si="45"/>
        <v>109</v>
      </c>
      <c r="AD56" s="350">
        <f t="shared" si="15"/>
        <v>123</v>
      </c>
      <c r="AE56" s="350">
        <f t="shared" si="46"/>
        <v>-8.3333333333333329E-2</v>
      </c>
      <c r="AF56" s="350">
        <f t="shared" si="47"/>
        <v>5036.6781897092251</v>
      </c>
      <c r="AG56" s="350"/>
      <c r="AH56" s="350"/>
      <c r="AI56" s="350"/>
    </row>
    <row r="57" spans="2:35">
      <c r="B57" s="818" t="s">
        <v>1115</v>
      </c>
      <c r="C57" s="289">
        <v>1999</v>
      </c>
      <c r="D57" s="289">
        <f t="shared" si="21"/>
        <v>99</v>
      </c>
      <c r="E57" s="289">
        <v>1</v>
      </c>
      <c r="F57" s="351">
        <v>0</v>
      </c>
      <c r="G57" s="344" t="s">
        <v>169</v>
      </c>
      <c r="H57" s="289">
        <v>10</v>
      </c>
      <c r="I57" s="289">
        <f t="shared" si="48"/>
        <v>109</v>
      </c>
      <c r="L57" s="819">
        <v>8648</v>
      </c>
      <c r="M57" s="350">
        <v>0</v>
      </c>
      <c r="N57" s="350">
        <f t="shared" si="34"/>
        <v>8648</v>
      </c>
      <c r="O57" s="350">
        <f t="shared" si="35"/>
        <v>72.066666666666663</v>
      </c>
      <c r="P57" s="350">
        <f t="shared" si="36"/>
        <v>0</v>
      </c>
      <c r="Q57" s="350">
        <f t="shared" si="37"/>
        <v>0</v>
      </c>
      <c r="R57" s="350">
        <f t="shared" si="38"/>
        <v>0</v>
      </c>
      <c r="S57" s="352">
        <f>+'WP-11 - Non-Regulated'!$K$40</f>
        <v>0.5539209822239638</v>
      </c>
      <c r="T57" s="350">
        <f t="shared" si="39"/>
        <v>0</v>
      </c>
      <c r="U57" s="350">
        <f t="shared" si="40"/>
        <v>8648</v>
      </c>
      <c r="V57" s="350">
        <f t="shared" si="41"/>
        <v>4790.3086542728388</v>
      </c>
      <c r="W57" s="352">
        <v>1</v>
      </c>
      <c r="X57" s="350">
        <f t="shared" si="42"/>
        <v>4790.3086542728388</v>
      </c>
      <c r="Y57" s="350">
        <f t="shared" si="43"/>
        <v>4790.3086542728388</v>
      </c>
      <c r="Z57" s="350">
        <f t="shared" si="18"/>
        <v>0</v>
      </c>
      <c r="AA57" s="350">
        <f t="shared" si="44"/>
        <v>99</v>
      </c>
      <c r="AB57" s="350">
        <f t="shared" si="13"/>
        <v>124</v>
      </c>
      <c r="AC57" s="350">
        <f t="shared" si="45"/>
        <v>109</v>
      </c>
      <c r="AD57" s="350">
        <f t="shared" si="15"/>
        <v>123</v>
      </c>
      <c r="AE57" s="350">
        <f t="shared" si="46"/>
        <v>-8.3333333333333329E-2</v>
      </c>
      <c r="AF57" s="350">
        <f t="shared" si="47"/>
        <v>3857.6913457271612</v>
      </c>
      <c r="AG57" s="350"/>
      <c r="AH57" s="350"/>
      <c r="AI57" s="350"/>
    </row>
    <row r="58" spans="2:35">
      <c r="B58" s="818" t="s">
        <v>1116</v>
      </c>
      <c r="C58" s="289">
        <v>1999</v>
      </c>
      <c r="D58" s="289">
        <f t="shared" si="21"/>
        <v>99</v>
      </c>
      <c r="E58" s="289">
        <v>1</v>
      </c>
      <c r="F58" s="351">
        <v>0</v>
      </c>
      <c r="G58" s="344" t="s">
        <v>169</v>
      </c>
      <c r="H58" s="289">
        <v>10</v>
      </c>
      <c r="I58" s="289">
        <f t="shared" si="48"/>
        <v>109</v>
      </c>
      <c r="L58" s="819">
        <v>3519</v>
      </c>
      <c r="M58" s="350">
        <v>0</v>
      </c>
      <c r="N58" s="350">
        <f t="shared" si="34"/>
        <v>3519</v>
      </c>
      <c r="O58" s="350">
        <f t="shared" si="35"/>
        <v>29.324999999999999</v>
      </c>
      <c r="P58" s="350">
        <f t="shared" si="36"/>
        <v>0</v>
      </c>
      <c r="Q58" s="350">
        <f t="shared" si="37"/>
        <v>0</v>
      </c>
      <c r="R58" s="350">
        <f t="shared" si="38"/>
        <v>0</v>
      </c>
      <c r="S58" s="352">
        <f>+'WP-11 - Non-Regulated'!$K$40</f>
        <v>0.5539209822239638</v>
      </c>
      <c r="T58" s="350">
        <f t="shared" si="39"/>
        <v>0</v>
      </c>
      <c r="U58" s="350">
        <f t="shared" si="40"/>
        <v>3519</v>
      </c>
      <c r="V58" s="350">
        <f t="shared" si="41"/>
        <v>1949.2479364461285</v>
      </c>
      <c r="W58" s="352">
        <v>1</v>
      </c>
      <c r="X58" s="350">
        <f t="shared" si="42"/>
        <v>1949.2479364461285</v>
      </c>
      <c r="Y58" s="350">
        <f t="shared" si="43"/>
        <v>1949.2479364461285</v>
      </c>
      <c r="Z58" s="350">
        <f t="shared" si="18"/>
        <v>0</v>
      </c>
      <c r="AA58" s="350">
        <f t="shared" si="44"/>
        <v>99</v>
      </c>
      <c r="AB58" s="350">
        <f t="shared" si="13"/>
        <v>124</v>
      </c>
      <c r="AC58" s="350">
        <f t="shared" si="45"/>
        <v>109</v>
      </c>
      <c r="AD58" s="350">
        <f t="shared" si="15"/>
        <v>123</v>
      </c>
      <c r="AE58" s="350">
        <f t="shared" si="46"/>
        <v>-8.3333333333333329E-2</v>
      </c>
      <c r="AF58" s="350">
        <f t="shared" si="47"/>
        <v>1569.7520635538715</v>
      </c>
      <c r="AG58" s="350"/>
      <c r="AH58" s="350"/>
      <c r="AI58" s="350"/>
    </row>
    <row r="59" spans="2:35">
      <c r="B59" s="818" t="s">
        <v>1117</v>
      </c>
      <c r="C59" s="289">
        <v>1999</v>
      </c>
      <c r="D59" s="289">
        <f t="shared" si="21"/>
        <v>99</v>
      </c>
      <c r="E59" s="289">
        <v>1</v>
      </c>
      <c r="F59" s="351">
        <v>0</v>
      </c>
      <c r="G59" s="344" t="s">
        <v>169</v>
      </c>
      <c r="H59" s="289">
        <v>10</v>
      </c>
      <c r="I59" s="289">
        <f t="shared" si="48"/>
        <v>109</v>
      </c>
      <c r="L59" s="819">
        <v>4827</v>
      </c>
      <c r="M59" s="350">
        <v>0</v>
      </c>
      <c r="N59" s="350">
        <f t="shared" si="34"/>
        <v>4827</v>
      </c>
      <c r="O59" s="350">
        <f t="shared" si="35"/>
        <v>40.225000000000001</v>
      </c>
      <c r="P59" s="350">
        <f t="shared" si="36"/>
        <v>0</v>
      </c>
      <c r="Q59" s="350">
        <f t="shared" si="37"/>
        <v>0</v>
      </c>
      <c r="R59" s="350">
        <f t="shared" si="38"/>
        <v>0</v>
      </c>
      <c r="S59" s="352">
        <f>+'WP-11 - Non-Regulated'!$K$40</f>
        <v>0.5539209822239638</v>
      </c>
      <c r="T59" s="350">
        <f t="shared" si="39"/>
        <v>0</v>
      </c>
      <c r="U59" s="350">
        <f t="shared" si="40"/>
        <v>4827</v>
      </c>
      <c r="V59" s="350">
        <f t="shared" si="41"/>
        <v>2673.776581195073</v>
      </c>
      <c r="W59" s="352">
        <v>1</v>
      </c>
      <c r="X59" s="350">
        <f t="shared" si="42"/>
        <v>2673.776581195073</v>
      </c>
      <c r="Y59" s="350">
        <f t="shared" si="43"/>
        <v>2673.776581195073</v>
      </c>
      <c r="Z59" s="350">
        <f t="shared" si="18"/>
        <v>0</v>
      </c>
      <c r="AA59" s="350">
        <f t="shared" si="44"/>
        <v>99</v>
      </c>
      <c r="AB59" s="350">
        <f t="shared" si="13"/>
        <v>124</v>
      </c>
      <c r="AC59" s="350">
        <f t="shared" si="45"/>
        <v>109</v>
      </c>
      <c r="AD59" s="350">
        <f t="shared" si="15"/>
        <v>123</v>
      </c>
      <c r="AE59" s="350">
        <f t="shared" si="46"/>
        <v>-8.3333333333333329E-2</v>
      </c>
      <c r="AF59" s="350">
        <f t="shared" si="47"/>
        <v>2153.223418804927</v>
      </c>
      <c r="AG59" s="350"/>
      <c r="AH59" s="350"/>
      <c r="AI59" s="350"/>
    </row>
    <row r="60" spans="2:35">
      <c r="B60" s="818" t="s">
        <v>1118</v>
      </c>
      <c r="C60" s="289">
        <v>2000</v>
      </c>
      <c r="D60" s="289">
        <f t="shared" si="21"/>
        <v>100</v>
      </c>
      <c r="E60" s="289">
        <v>1</v>
      </c>
      <c r="F60" s="351">
        <v>0</v>
      </c>
      <c r="G60" s="344" t="s">
        <v>169</v>
      </c>
      <c r="H60" s="289">
        <v>10</v>
      </c>
      <c r="I60" s="289">
        <f t="shared" si="48"/>
        <v>110</v>
      </c>
      <c r="L60" s="819">
        <v>15798</v>
      </c>
      <c r="M60" s="350">
        <v>0</v>
      </c>
      <c r="N60" s="350">
        <f t="shared" si="34"/>
        <v>15798</v>
      </c>
      <c r="O60" s="350">
        <f t="shared" si="35"/>
        <v>131.65</v>
      </c>
      <c r="P60" s="350">
        <f t="shared" si="36"/>
        <v>0</v>
      </c>
      <c r="Q60" s="350">
        <f t="shared" si="37"/>
        <v>0</v>
      </c>
      <c r="R60" s="350">
        <f t="shared" si="38"/>
        <v>0</v>
      </c>
      <c r="S60" s="352">
        <f>+'WP-11 - Non-Regulated'!$K$40</f>
        <v>0.5539209822239638</v>
      </c>
      <c r="T60" s="350">
        <f t="shared" si="39"/>
        <v>0</v>
      </c>
      <c r="U60" s="350">
        <f t="shared" si="40"/>
        <v>15798</v>
      </c>
      <c r="V60" s="350">
        <f t="shared" si="41"/>
        <v>8750.8436771741799</v>
      </c>
      <c r="W60" s="352">
        <v>1</v>
      </c>
      <c r="X60" s="350">
        <f t="shared" si="42"/>
        <v>8750.8436771741799</v>
      </c>
      <c r="Y60" s="350">
        <f t="shared" si="43"/>
        <v>8750.8436771741799</v>
      </c>
      <c r="Z60" s="350">
        <f t="shared" si="18"/>
        <v>0</v>
      </c>
      <c r="AA60" s="350">
        <f t="shared" si="44"/>
        <v>100</v>
      </c>
      <c r="AB60" s="350">
        <f t="shared" si="13"/>
        <v>124</v>
      </c>
      <c r="AC60" s="350">
        <f t="shared" si="45"/>
        <v>110</v>
      </c>
      <c r="AD60" s="350">
        <f t="shared" si="15"/>
        <v>123</v>
      </c>
      <c r="AE60" s="350">
        <f t="shared" si="46"/>
        <v>-8.3333333333333329E-2</v>
      </c>
      <c r="AF60" s="350">
        <f t="shared" si="47"/>
        <v>7047.1563228258201</v>
      </c>
      <c r="AG60" s="350"/>
      <c r="AH60" s="350"/>
      <c r="AI60" s="350"/>
    </row>
    <row r="61" spans="2:35">
      <c r="B61" s="818" t="s">
        <v>1119</v>
      </c>
      <c r="C61" s="289">
        <v>2000</v>
      </c>
      <c r="D61" s="289">
        <f t="shared" si="21"/>
        <v>100</v>
      </c>
      <c r="E61" s="289">
        <v>1</v>
      </c>
      <c r="F61" s="351">
        <v>0</v>
      </c>
      <c r="G61" s="344" t="s">
        <v>169</v>
      </c>
      <c r="H61" s="289">
        <v>10</v>
      </c>
      <c r="I61" s="289">
        <f t="shared" si="48"/>
        <v>110</v>
      </c>
      <c r="L61" s="819">
        <v>22502</v>
      </c>
      <c r="M61" s="350">
        <v>0</v>
      </c>
      <c r="N61" s="350">
        <f t="shared" si="34"/>
        <v>22502</v>
      </c>
      <c r="O61" s="350">
        <f t="shared" si="35"/>
        <v>187.51666666666665</v>
      </c>
      <c r="P61" s="350">
        <f t="shared" si="36"/>
        <v>0</v>
      </c>
      <c r="Q61" s="350">
        <f t="shared" si="37"/>
        <v>0</v>
      </c>
      <c r="R61" s="350">
        <f t="shared" si="38"/>
        <v>0</v>
      </c>
      <c r="S61" s="352">
        <f>+'WP-11 - Non-Regulated'!$K$40</f>
        <v>0.5539209822239638</v>
      </c>
      <c r="T61" s="350">
        <f t="shared" si="39"/>
        <v>0</v>
      </c>
      <c r="U61" s="350">
        <f t="shared" si="40"/>
        <v>22502</v>
      </c>
      <c r="V61" s="350">
        <f t="shared" si="41"/>
        <v>12464.329942003633</v>
      </c>
      <c r="W61" s="352">
        <v>1</v>
      </c>
      <c r="X61" s="350">
        <f t="shared" si="42"/>
        <v>12464.329942003633</v>
      </c>
      <c r="Y61" s="350">
        <f t="shared" si="43"/>
        <v>12464.329942003633</v>
      </c>
      <c r="Z61" s="350">
        <f t="shared" si="18"/>
        <v>0</v>
      </c>
      <c r="AA61" s="350">
        <f t="shared" si="44"/>
        <v>100</v>
      </c>
      <c r="AB61" s="350">
        <f t="shared" si="13"/>
        <v>124</v>
      </c>
      <c r="AC61" s="350">
        <f t="shared" si="45"/>
        <v>110</v>
      </c>
      <c r="AD61" s="350">
        <f t="shared" si="15"/>
        <v>123</v>
      </c>
      <c r="AE61" s="350">
        <f t="shared" si="46"/>
        <v>-8.3333333333333329E-2</v>
      </c>
      <c r="AF61" s="350">
        <f t="shared" si="47"/>
        <v>10037.670057996367</v>
      </c>
      <c r="AG61" s="350"/>
      <c r="AH61" s="350"/>
      <c r="AI61" s="350"/>
    </row>
    <row r="62" spans="2:35">
      <c r="B62" s="818" t="s">
        <v>1120</v>
      </c>
      <c r="C62" s="289">
        <v>2000</v>
      </c>
      <c r="D62" s="289">
        <f t="shared" si="21"/>
        <v>100</v>
      </c>
      <c r="E62" s="289">
        <v>1</v>
      </c>
      <c r="F62" s="351">
        <v>0</v>
      </c>
      <c r="G62" s="344" t="s">
        <v>169</v>
      </c>
      <c r="H62" s="289">
        <v>10</v>
      </c>
      <c r="I62" s="289">
        <f t="shared" si="48"/>
        <v>110</v>
      </c>
      <c r="L62" s="819">
        <v>2107</v>
      </c>
      <c r="M62" s="350">
        <v>0</v>
      </c>
      <c r="N62" s="350">
        <f t="shared" si="34"/>
        <v>2107</v>
      </c>
      <c r="O62" s="350">
        <f t="shared" si="35"/>
        <v>17.558333333333334</v>
      </c>
      <c r="P62" s="350">
        <f t="shared" si="36"/>
        <v>0</v>
      </c>
      <c r="Q62" s="350">
        <f t="shared" si="37"/>
        <v>0</v>
      </c>
      <c r="R62" s="350">
        <f t="shared" si="38"/>
        <v>0</v>
      </c>
      <c r="S62" s="352">
        <f>+'WP-11 - Non-Regulated'!$K$40</f>
        <v>0.5539209822239638</v>
      </c>
      <c r="T62" s="350">
        <f t="shared" si="39"/>
        <v>0</v>
      </c>
      <c r="U62" s="350">
        <f t="shared" si="40"/>
        <v>2107</v>
      </c>
      <c r="V62" s="350">
        <f t="shared" si="41"/>
        <v>1167.1115095458917</v>
      </c>
      <c r="W62" s="352">
        <v>1</v>
      </c>
      <c r="X62" s="350">
        <f t="shared" si="42"/>
        <v>1167.1115095458917</v>
      </c>
      <c r="Y62" s="350">
        <f t="shared" si="43"/>
        <v>1167.1115095458917</v>
      </c>
      <c r="Z62" s="350">
        <f t="shared" si="18"/>
        <v>0</v>
      </c>
      <c r="AA62" s="350">
        <f t="shared" si="44"/>
        <v>100</v>
      </c>
      <c r="AB62" s="350">
        <f t="shared" si="13"/>
        <v>124</v>
      </c>
      <c r="AC62" s="350">
        <f t="shared" si="45"/>
        <v>110</v>
      </c>
      <c r="AD62" s="350">
        <f t="shared" si="15"/>
        <v>123</v>
      </c>
      <c r="AE62" s="350">
        <f t="shared" si="46"/>
        <v>-8.3333333333333329E-2</v>
      </c>
      <c r="AF62" s="350">
        <f t="shared" si="47"/>
        <v>939.88849045410825</v>
      </c>
      <c r="AG62" s="350"/>
      <c r="AH62" s="350"/>
      <c r="AI62" s="350"/>
    </row>
    <row r="63" spans="2:35">
      <c r="B63" s="818" t="s">
        <v>1121</v>
      </c>
      <c r="C63" s="289">
        <v>2000</v>
      </c>
      <c r="D63" s="289">
        <f t="shared" si="21"/>
        <v>100</v>
      </c>
      <c r="E63" s="289">
        <v>1</v>
      </c>
      <c r="F63" s="351">
        <v>0</v>
      </c>
      <c r="G63" s="344" t="s">
        <v>169</v>
      </c>
      <c r="H63" s="289">
        <v>10</v>
      </c>
      <c r="I63" s="289">
        <f t="shared" si="48"/>
        <v>110</v>
      </c>
      <c r="L63" s="819">
        <v>2932</v>
      </c>
      <c r="M63" s="350">
        <v>0</v>
      </c>
      <c r="N63" s="350">
        <f t="shared" si="34"/>
        <v>2932</v>
      </c>
      <c r="O63" s="350">
        <f t="shared" si="35"/>
        <v>24.433333333333334</v>
      </c>
      <c r="P63" s="350">
        <f t="shared" si="36"/>
        <v>0</v>
      </c>
      <c r="Q63" s="350">
        <f t="shared" si="37"/>
        <v>0</v>
      </c>
      <c r="R63" s="350">
        <f t="shared" si="38"/>
        <v>0</v>
      </c>
      <c r="S63" s="352">
        <f>+'WP-11 - Non-Regulated'!$K$40</f>
        <v>0.5539209822239638</v>
      </c>
      <c r="T63" s="350">
        <f t="shared" si="39"/>
        <v>0</v>
      </c>
      <c r="U63" s="350">
        <f t="shared" si="40"/>
        <v>2932</v>
      </c>
      <c r="V63" s="350">
        <f t="shared" si="41"/>
        <v>1624.0963198806619</v>
      </c>
      <c r="W63" s="352">
        <v>1</v>
      </c>
      <c r="X63" s="350">
        <f t="shared" si="42"/>
        <v>1624.0963198806619</v>
      </c>
      <c r="Y63" s="350">
        <f t="shared" si="43"/>
        <v>1624.0963198806619</v>
      </c>
      <c r="Z63" s="350">
        <f t="shared" si="18"/>
        <v>0</v>
      </c>
      <c r="AA63" s="350">
        <f t="shared" si="44"/>
        <v>100</v>
      </c>
      <c r="AB63" s="350">
        <f t="shared" si="13"/>
        <v>124</v>
      </c>
      <c r="AC63" s="350">
        <f t="shared" si="45"/>
        <v>110</v>
      </c>
      <c r="AD63" s="350">
        <f t="shared" si="15"/>
        <v>123</v>
      </c>
      <c r="AE63" s="350">
        <f t="shared" si="46"/>
        <v>-8.3333333333333329E-2</v>
      </c>
      <c r="AF63" s="350">
        <f t="shared" si="47"/>
        <v>1307.9036801193381</v>
      </c>
      <c r="AG63" s="350"/>
      <c r="AH63" s="350"/>
      <c r="AI63" s="350"/>
    </row>
    <row r="64" spans="2:35">
      <c r="B64" s="818" t="s">
        <v>1122</v>
      </c>
      <c r="C64" s="289">
        <v>2000</v>
      </c>
      <c r="D64" s="289">
        <f t="shared" si="21"/>
        <v>100</v>
      </c>
      <c r="E64" s="289">
        <v>1</v>
      </c>
      <c r="F64" s="351">
        <v>0</v>
      </c>
      <c r="G64" s="344" t="s">
        <v>169</v>
      </c>
      <c r="H64" s="289">
        <v>10</v>
      </c>
      <c r="I64" s="289">
        <f t="shared" si="48"/>
        <v>110</v>
      </c>
      <c r="L64" s="819">
        <v>5024</v>
      </c>
      <c r="M64" s="350">
        <v>0</v>
      </c>
      <c r="N64" s="350">
        <f t="shared" si="34"/>
        <v>5024</v>
      </c>
      <c r="O64" s="350">
        <f t="shared" si="35"/>
        <v>41.866666666666667</v>
      </c>
      <c r="P64" s="350">
        <f t="shared" si="36"/>
        <v>0</v>
      </c>
      <c r="Q64" s="350">
        <f t="shared" si="37"/>
        <v>0</v>
      </c>
      <c r="R64" s="350">
        <f t="shared" si="38"/>
        <v>0</v>
      </c>
      <c r="S64" s="352">
        <f>+'WP-11 - Non-Regulated'!$K$40</f>
        <v>0.5539209822239638</v>
      </c>
      <c r="T64" s="350">
        <f t="shared" si="39"/>
        <v>0</v>
      </c>
      <c r="U64" s="350">
        <f t="shared" si="40"/>
        <v>5024</v>
      </c>
      <c r="V64" s="350">
        <f t="shared" si="41"/>
        <v>2782.8990146931942</v>
      </c>
      <c r="W64" s="352">
        <v>1</v>
      </c>
      <c r="X64" s="350">
        <f t="shared" si="42"/>
        <v>2782.8990146931942</v>
      </c>
      <c r="Y64" s="350">
        <f t="shared" si="43"/>
        <v>2782.8990146931942</v>
      </c>
      <c r="Z64" s="350">
        <f t="shared" si="18"/>
        <v>0</v>
      </c>
      <c r="AA64" s="350">
        <f t="shared" si="44"/>
        <v>100</v>
      </c>
      <c r="AB64" s="350">
        <f t="shared" si="13"/>
        <v>124</v>
      </c>
      <c r="AC64" s="350">
        <f t="shared" si="45"/>
        <v>110</v>
      </c>
      <c r="AD64" s="350">
        <f t="shared" si="15"/>
        <v>123</v>
      </c>
      <c r="AE64" s="350">
        <f t="shared" si="46"/>
        <v>-8.3333333333333329E-2</v>
      </c>
      <c r="AF64" s="350">
        <f t="shared" si="47"/>
        <v>2241.1009853068058</v>
      </c>
      <c r="AG64" s="350"/>
      <c r="AH64" s="350"/>
      <c r="AI64" s="350"/>
    </row>
    <row r="65" spans="2:35">
      <c r="B65" s="818" t="s">
        <v>1123</v>
      </c>
      <c r="C65" s="289">
        <v>2000</v>
      </c>
      <c r="D65" s="289">
        <f t="shared" si="21"/>
        <v>100</v>
      </c>
      <c r="E65" s="289">
        <v>1</v>
      </c>
      <c r="F65" s="351">
        <v>0</v>
      </c>
      <c r="G65" s="344" t="s">
        <v>169</v>
      </c>
      <c r="H65" s="289">
        <v>10</v>
      </c>
      <c r="I65" s="289">
        <f t="shared" si="48"/>
        <v>110</v>
      </c>
      <c r="L65" s="819">
        <v>2248</v>
      </c>
      <c r="M65" s="350">
        <v>0</v>
      </c>
      <c r="N65" s="350">
        <f t="shared" si="34"/>
        <v>2248</v>
      </c>
      <c r="O65" s="350">
        <f t="shared" si="35"/>
        <v>18.733333333333334</v>
      </c>
      <c r="P65" s="350">
        <f t="shared" si="36"/>
        <v>0</v>
      </c>
      <c r="Q65" s="350">
        <f t="shared" si="37"/>
        <v>0</v>
      </c>
      <c r="R65" s="350">
        <f t="shared" si="38"/>
        <v>0</v>
      </c>
      <c r="S65" s="352">
        <f>+'WP-11 - Non-Regulated'!$K$40</f>
        <v>0.5539209822239638</v>
      </c>
      <c r="T65" s="350">
        <f t="shared" si="39"/>
        <v>0</v>
      </c>
      <c r="U65" s="350">
        <f t="shared" si="40"/>
        <v>2248</v>
      </c>
      <c r="V65" s="350">
        <f t="shared" si="41"/>
        <v>1245.2143680394706</v>
      </c>
      <c r="W65" s="352">
        <v>1</v>
      </c>
      <c r="X65" s="350">
        <f t="shared" si="42"/>
        <v>1245.2143680394706</v>
      </c>
      <c r="Y65" s="350">
        <f t="shared" si="43"/>
        <v>1245.2143680394706</v>
      </c>
      <c r="Z65" s="350">
        <f t="shared" si="18"/>
        <v>0</v>
      </c>
      <c r="AA65" s="350">
        <f t="shared" si="44"/>
        <v>100</v>
      </c>
      <c r="AB65" s="350">
        <f t="shared" si="13"/>
        <v>124</v>
      </c>
      <c r="AC65" s="350">
        <f t="shared" si="45"/>
        <v>110</v>
      </c>
      <c r="AD65" s="350">
        <f t="shared" si="15"/>
        <v>123</v>
      </c>
      <c r="AE65" s="350">
        <f t="shared" si="46"/>
        <v>-8.3333333333333329E-2</v>
      </c>
      <c r="AF65" s="350">
        <f t="shared" si="47"/>
        <v>1002.7856319605294</v>
      </c>
      <c r="AG65" s="350"/>
      <c r="AH65" s="350"/>
      <c r="AI65" s="350"/>
    </row>
    <row r="66" spans="2:35">
      <c r="B66" s="818" t="s">
        <v>1124</v>
      </c>
      <c r="C66" s="289">
        <v>2000</v>
      </c>
      <c r="D66" s="289">
        <f t="shared" si="21"/>
        <v>100</v>
      </c>
      <c r="E66" s="289">
        <v>1</v>
      </c>
      <c r="F66" s="351">
        <v>0</v>
      </c>
      <c r="G66" s="344" t="s">
        <v>169</v>
      </c>
      <c r="H66" s="289">
        <v>10</v>
      </c>
      <c r="I66" s="289">
        <f t="shared" si="48"/>
        <v>110</v>
      </c>
      <c r="L66" s="819">
        <v>6742</v>
      </c>
      <c r="M66" s="350">
        <v>0</v>
      </c>
      <c r="N66" s="350">
        <f t="shared" si="34"/>
        <v>6742</v>
      </c>
      <c r="O66" s="350">
        <f t="shared" si="35"/>
        <v>56.183333333333337</v>
      </c>
      <c r="P66" s="350">
        <f t="shared" si="36"/>
        <v>0</v>
      </c>
      <c r="Q66" s="350">
        <f t="shared" si="37"/>
        <v>0</v>
      </c>
      <c r="R66" s="350">
        <f t="shared" si="38"/>
        <v>0</v>
      </c>
      <c r="S66" s="352">
        <f>+'WP-11 - Non-Regulated'!$K$40</f>
        <v>0.5539209822239638</v>
      </c>
      <c r="T66" s="350">
        <f t="shared" si="39"/>
        <v>0</v>
      </c>
      <c r="U66" s="350">
        <f t="shared" si="40"/>
        <v>6742</v>
      </c>
      <c r="V66" s="350">
        <f t="shared" si="41"/>
        <v>3734.5352621539641</v>
      </c>
      <c r="W66" s="352">
        <v>1</v>
      </c>
      <c r="X66" s="350">
        <f t="shared" si="42"/>
        <v>3734.5352621539641</v>
      </c>
      <c r="Y66" s="350">
        <f t="shared" si="43"/>
        <v>3734.5352621539641</v>
      </c>
      <c r="Z66" s="350">
        <f t="shared" si="18"/>
        <v>0</v>
      </c>
      <c r="AA66" s="350">
        <f t="shared" si="44"/>
        <v>100</v>
      </c>
      <c r="AB66" s="350">
        <f t="shared" si="13"/>
        <v>124</v>
      </c>
      <c r="AC66" s="350">
        <f t="shared" si="45"/>
        <v>110</v>
      </c>
      <c r="AD66" s="350">
        <f t="shared" si="15"/>
        <v>123</v>
      </c>
      <c r="AE66" s="350">
        <f t="shared" si="46"/>
        <v>-8.3333333333333329E-2</v>
      </c>
      <c r="AF66" s="350">
        <f t="shared" si="47"/>
        <v>3007.4647378460359</v>
      </c>
      <c r="AG66" s="350"/>
      <c r="AH66" s="350"/>
      <c r="AI66" s="350"/>
    </row>
    <row r="67" spans="2:35">
      <c r="B67" s="818" t="s">
        <v>1125</v>
      </c>
      <c r="C67" s="289">
        <v>2000</v>
      </c>
      <c r="D67" s="289">
        <f t="shared" si="21"/>
        <v>100</v>
      </c>
      <c r="E67" s="289">
        <v>1</v>
      </c>
      <c r="F67" s="351">
        <v>0</v>
      </c>
      <c r="G67" s="344" t="s">
        <v>169</v>
      </c>
      <c r="H67" s="289">
        <v>10</v>
      </c>
      <c r="I67" s="289">
        <f t="shared" si="48"/>
        <v>110</v>
      </c>
      <c r="L67" s="819">
        <v>1527</v>
      </c>
      <c r="M67" s="350">
        <v>0</v>
      </c>
      <c r="N67" s="350">
        <f t="shared" si="34"/>
        <v>1527</v>
      </c>
      <c r="O67" s="350">
        <f t="shared" si="35"/>
        <v>12.725</v>
      </c>
      <c r="P67" s="350">
        <f t="shared" si="36"/>
        <v>0</v>
      </c>
      <c r="Q67" s="350">
        <f t="shared" si="37"/>
        <v>0</v>
      </c>
      <c r="R67" s="350">
        <f t="shared" si="38"/>
        <v>0</v>
      </c>
      <c r="S67" s="352">
        <f>+'WP-11 - Non-Regulated'!$K$40</f>
        <v>0.5539209822239638</v>
      </c>
      <c r="T67" s="350">
        <f t="shared" si="39"/>
        <v>0</v>
      </c>
      <c r="U67" s="350">
        <f t="shared" si="40"/>
        <v>1527</v>
      </c>
      <c r="V67" s="350">
        <f t="shared" si="41"/>
        <v>845.8373398559927</v>
      </c>
      <c r="W67" s="352">
        <v>1</v>
      </c>
      <c r="X67" s="350">
        <f t="shared" si="42"/>
        <v>845.8373398559927</v>
      </c>
      <c r="Y67" s="350">
        <f t="shared" si="43"/>
        <v>845.8373398559927</v>
      </c>
      <c r="Z67" s="350">
        <f t="shared" si="18"/>
        <v>0</v>
      </c>
      <c r="AA67" s="350">
        <f t="shared" si="44"/>
        <v>100</v>
      </c>
      <c r="AB67" s="350">
        <f t="shared" si="13"/>
        <v>124</v>
      </c>
      <c r="AC67" s="350">
        <f t="shared" si="45"/>
        <v>110</v>
      </c>
      <c r="AD67" s="350">
        <f t="shared" si="15"/>
        <v>123</v>
      </c>
      <c r="AE67" s="350">
        <f t="shared" si="46"/>
        <v>-8.3333333333333329E-2</v>
      </c>
      <c r="AF67" s="350">
        <f t="shared" si="47"/>
        <v>681.1626601440073</v>
      </c>
      <c r="AG67" s="350"/>
      <c r="AH67" s="350"/>
      <c r="AI67" s="350"/>
    </row>
    <row r="68" spans="2:35">
      <c r="B68" s="818" t="s">
        <v>1126</v>
      </c>
      <c r="C68" s="289">
        <v>2000</v>
      </c>
      <c r="D68" s="289">
        <f t="shared" si="21"/>
        <v>100</v>
      </c>
      <c r="E68" s="289">
        <v>1</v>
      </c>
      <c r="F68" s="351">
        <v>0</v>
      </c>
      <c r="G68" s="344" t="s">
        <v>169</v>
      </c>
      <c r="H68" s="289">
        <v>10</v>
      </c>
      <c r="I68" s="289">
        <f t="shared" si="48"/>
        <v>110</v>
      </c>
      <c r="L68" s="819">
        <v>5995</v>
      </c>
      <c r="M68" s="350">
        <v>0</v>
      </c>
      <c r="N68" s="350">
        <f t="shared" si="34"/>
        <v>5995</v>
      </c>
      <c r="O68" s="350">
        <f t="shared" si="35"/>
        <v>49.958333333333336</v>
      </c>
      <c r="P68" s="350">
        <f t="shared" si="36"/>
        <v>0</v>
      </c>
      <c r="Q68" s="350">
        <f t="shared" si="37"/>
        <v>0</v>
      </c>
      <c r="R68" s="350">
        <f t="shared" si="38"/>
        <v>0</v>
      </c>
      <c r="S68" s="352">
        <f>+'WP-11 - Non-Regulated'!$K$40</f>
        <v>0.5539209822239638</v>
      </c>
      <c r="T68" s="350">
        <f t="shared" si="39"/>
        <v>0</v>
      </c>
      <c r="U68" s="350">
        <f t="shared" si="40"/>
        <v>5995</v>
      </c>
      <c r="V68" s="350">
        <f t="shared" si="41"/>
        <v>3320.756288432663</v>
      </c>
      <c r="W68" s="352">
        <v>1</v>
      </c>
      <c r="X68" s="350">
        <f t="shared" si="42"/>
        <v>3320.756288432663</v>
      </c>
      <c r="Y68" s="350">
        <f t="shared" si="43"/>
        <v>3320.756288432663</v>
      </c>
      <c r="Z68" s="350">
        <f t="shared" si="18"/>
        <v>0</v>
      </c>
      <c r="AA68" s="350">
        <f t="shared" si="44"/>
        <v>100</v>
      </c>
      <c r="AB68" s="350">
        <f t="shared" si="13"/>
        <v>124</v>
      </c>
      <c r="AC68" s="350">
        <f t="shared" si="45"/>
        <v>110</v>
      </c>
      <c r="AD68" s="350">
        <f t="shared" si="15"/>
        <v>123</v>
      </c>
      <c r="AE68" s="350">
        <f t="shared" si="46"/>
        <v>-8.3333333333333329E-2</v>
      </c>
      <c r="AF68" s="350">
        <f t="shared" si="47"/>
        <v>2674.243711567337</v>
      </c>
      <c r="AG68" s="350"/>
      <c r="AH68" s="350"/>
      <c r="AI68" s="350"/>
    </row>
    <row r="69" spans="2:35">
      <c r="B69" s="818" t="s">
        <v>1127</v>
      </c>
      <c r="C69" s="289">
        <v>2001</v>
      </c>
      <c r="D69" s="289">
        <f t="shared" si="21"/>
        <v>101</v>
      </c>
      <c r="E69" s="289">
        <v>1</v>
      </c>
      <c r="F69" s="351">
        <v>0</v>
      </c>
      <c r="G69" s="344" t="s">
        <v>169</v>
      </c>
      <c r="H69" s="289">
        <v>10</v>
      </c>
      <c r="I69" s="289">
        <f t="shared" si="48"/>
        <v>111</v>
      </c>
      <c r="L69" s="819">
        <v>8210</v>
      </c>
      <c r="M69" s="350">
        <v>0</v>
      </c>
      <c r="N69" s="350">
        <f t="shared" si="34"/>
        <v>8210</v>
      </c>
      <c r="O69" s="350">
        <f t="shared" si="35"/>
        <v>68.416666666666671</v>
      </c>
      <c r="P69" s="350">
        <f t="shared" si="36"/>
        <v>0</v>
      </c>
      <c r="Q69" s="350">
        <f t="shared" si="37"/>
        <v>0</v>
      </c>
      <c r="R69" s="350">
        <f t="shared" si="38"/>
        <v>0</v>
      </c>
      <c r="S69" s="352">
        <f>+'WP-11 - Non-Regulated'!$K$40</f>
        <v>0.5539209822239638</v>
      </c>
      <c r="T69" s="350">
        <f t="shared" si="39"/>
        <v>0</v>
      </c>
      <c r="U69" s="350">
        <f t="shared" si="40"/>
        <v>8210</v>
      </c>
      <c r="V69" s="350">
        <f t="shared" si="41"/>
        <v>4547.6912640587425</v>
      </c>
      <c r="W69" s="352">
        <v>1</v>
      </c>
      <c r="X69" s="350">
        <f t="shared" si="42"/>
        <v>4547.6912640587425</v>
      </c>
      <c r="Y69" s="350">
        <f t="shared" si="43"/>
        <v>4547.6912640587425</v>
      </c>
      <c r="Z69" s="350">
        <f t="shared" si="18"/>
        <v>0</v>
      </c>
      <c r="AA69" s="350">
        <f t="shared" si="44"/>
        <v>101</v>
      </c>
      <c r="AB69" s="350">
        <f t="shared" si="13"/>
        <v>124</v>
      </c>
      <c r="AC69" s="350">
        <f t="shared" si="45"/>
        <v>111</v>
      </c>
      <c r="AD69" s="350">
        <f t="shared" si="15"/>
        <v>123</v>
      </c>
      <c r="AE69" s="350">
        <f t="shared" si="46"/>
        <v>-8.3333333333333329E-2</v>
      </c>
      <c r="AF69" s="350">
        <f t="shared" si="47"/>
        <v>3662.3087359412575</v>
      </c>
      <c r="AG69" s="350"/>
      <c r="AH69" s="350"/>
      <c r="AI69" s="350"/>
    </row>
    <row r="70" spans="2:35">
      <c r="B70" s="818" t="s">
        <v>1128</v>
      </c>
      <c r="C70" s="289">
        <v>2001</v>
      </c>
      <c r="D70" s="289">
        <f t="shared" si="21"/>
        <v>101</v>
      </c>
      <c r="E70" s="289">
        <v>1</v>
      </c>
      <c r="F70" s="351">
        <v>0</v>
      </c>
      <c r="G70" s="344" t="s">
        <v>169</v>
      </c>
      <c r="H70" s="289">
        <v>10</v>
      </c>
      <c r="I70" s="289">
        <f t="shared" si="48"/>
        <v>111</v>
      </c>
      <c r="L70" s="819">
        <v>16290</v>
      </c>
      <c r="M70" s="350">
        <v>0</v>
      </c>
      <c r="N70" s="350">
        <f t="shared" si="34"/>
        <v>16290</v>
      </c>
      <c r="O70" s="350">
        <f t="shared" si="35"/>
        <v>135.75</v>
      </c>
      <c r="P70" s="350">
        <f t="shared" si="36"/>
        <v>0</v>
      </c>
      <c r="Q70" s="350">
        <f t="shared" si="37"/>
        <v>0</v>
      </c>
      <c r="R70" s="350">
        <f t="shared" si="38"/>
        <v>0</v>
      </c>
      <c r="S70" s="352">
        <f>+'WP-11 - Non-Regulated'!$K$40</f>
        <v>0.5539209822239638</v>
      </c>
      <c r="T70" s="350">
        <f t="shared" si="39"/>
        <v>0</v>
      </c>
      <c r="U70" s="350">
        <f t="shared" si="40"/>
        <v>16290</v>
      </c>
      <c r="V70" s="350">
        <f t="shared" si="41"/>
        <v>9023.3728004283694</v>
      </c>
      <c r="W70" s="352">
        <v>1</v>
      </c>
      <c r="X70" s="350">
        <f t="shared" si="42"/>
        <v>9023.3728004283694</v>
      </c>
      <c r="Y70" s="350">
        <f t="shared" si="43"/>
        <v>9023.3728004283694</v>
      </c>
      <c r="Z70" s="350">
        <f t="shared" si="18"/>
        <v>0</v>
      </c>
      <c r="AA70" s="350">
        <f t="shared" si="44"/>
        <v>101</v>
      </c>
      <c r="AB70" s="350">
        <f t="shared" si="13"/>
        <v>124</v>
      </c>
      <c r="AC70" s="350">
        <f t="shared" si="45"/>
        <v>111</v>
      </c>
      <c r="AD70" s="350">
        <f t="shared" si="15"/>
        <v>123</v>
      </c>
      <c r="AE70" s="350">
        <f t="shared" si="46"/>
        <v>-8.3333333333333329E-2</v>
      </c>
      <c r="AF70" s="350">
        <f t="shared" si="47"/>
        <v>7266.6271995716306</v>
      </c>
      <c r="AG70" s="350"/>
      <c r="AH70" s="350"/>
      <c r="AI70" s="350"/>
    </row>
    <row r="71" spans="2:35">
      <c r="B71" s="818" t="s">
        <v>1129</v>
      </c>
      <c r="C71" s="289">
        <v>2001</v>
      </c>
      <c r="D71" s="289">
        <f t="shared" si="21"/>
        <v>101</v>
      </c>
      <c r="E71" s="289">
        <v>1</v>
      </c>
      <c r="F71" s="351">
        <v>0</v>
      </c>
      <c r="G71" s="344" t="s">
        <v>169</v>
      </c>
      <c r="H71" s="289">
        <v>10</v>
      </c>
      <c r="I71" s="289">
        <f t="shared" si="48"/>
        <v>111</v>
      </c>
      <c r="L71" s="819">
        <v>7553</v>
      </c>
      <c r="M71" s="350">
        <v>0</v>
      </c>
      <c r="N71" s="350">
        <f t="shared" si="34"/>
        <v>7553</v>
      </c>
      <c r="O71" s="350">
        <f t="shared" si="35"/>
        <v>62.941666666666663</v>
      </c>
      <c r="P71" s="350">
        <f t="shared" si="36"/>
        <v>0</v>
      </c>
      <c r="Q71" s="350">
        <f t="shared" si="37"/>
        <v>0</v>
      </c>
      <c r="R71" s="350">
        <f t="shared" si="38"/>
        <v>0</v>
      </c>
      <c r="S71" s="352">
        <f>+'WP-11 - Non-Regulated'!$K$40</f>
        <v>0.5539209822239638</v>
      </c>
      <c r="T71" s="350">
        <f t="shared" si="39"/>
        <v>0</v>
      </c>
      <c r="U71" s="350">
        <f t="shared" si="40"/>
        <v>7553</v>
      </c>
      <c r="V71" s="350">
        <f t="shared" si="41"/>
        <v>4183.7651787375989</v>
      </c>
      <c r="W71" s="352">
        <v>1</v>
      </c>
      <c r="X71" s="350">
        <f t="shared" si="42"/>
        <v>4183.7651787375989</v>
      </c>
      <c r="Y71" s="350">
        <f t="shared" si="43"/>
        <v>4183.7651787375989</v>
      </c>
      <c r="Z71" s="350">
        <f t="shared" si="18"/>
        <v>0</v>
      </c>
      <c r="AA71" s="350">
        <f t="shared" si="44"/>
        <v>101</v>
      </c>
      <c r="AB71" s="350">
        <f t="shared" si="13"/>
        <v>124</v>
      </c>
      <c r="AC71" s="350">
        <f t="shared" si="45"/>
        <v>111</v>
      </c>
      <c r="AD71" s="350">
        <f t="shared" si="15"/>
        <v>123</v>
      </c>
      <c r="AE71" s="350">
        <f t="shared" si="46"/>
        <v>-8.3333333333333329E-2</v>
      </c>
      <c r="AF71" s="350">
        <f t="shared" si="47"/>
        <v>3369.2348212624011</v>
      </c>
      <c r="AG71" s="350"/>
      <c r="AH71" s="350"/>
      <c r="AI71" s="350"/>
    </row>
    <row r="72" spans="2:35">
      <c r="B72" s="818" t="s">
        <v>1130</v>
      </c>
      <c r="C72" s="289">
        <v>2001</v>
      </c>
      <c r="D72" s="289">
        <f t="shared" si="21"/>
        <v>101</v>
      </c>
      <c r="E72" s="289">
        <v>1</v>
      </c>
      <c r="F72" s="351">
        <v>0</v>
      </c>
      <c r="G72" s="344" t="s">
        <v>169</v>
      </c>
      <c r="H72" s="289">
        <v>10</v>
      </c>
      <c r="I72" s="289">
        <f t="shared" si="48"/>
        <v>111</v>
      </c>
      <c r="L72" s="819">
        <v>6092</v>
      </c>
      <c r="M72" s="350">
        <v>0</v>
      </c>
      <c r="N72" s="350">
        <f t="shared" si="34"/>
        <v>6092</v>
      </c>
      <c r="O72" s="350">
        <f t="shared" si="35"/>
        <v>50.766666666666673</v>
      </c>
      <c r="P72" s="350">
        <f t="shared" si="36"/>
        <v>0</v>
      </c>
      <c r="Q72" s="350">
        <f t="shared" si="37"/>
        <v>0</v>
      </c>
      <c r="R72" s="350">
        <f t="shared" si="38"/>
        <v>0</v>
      </c>
      <c r="S72" s="352">
        <f>+'WP-11 - Non-Regulated'!$K$40</f>
        <v>0.5539209822239638</v>
      </c>
      <c r="T72" s="350">
        <f t="shared" si="39"/>
        <v>0</v>
      </c>
      <c r="U72" s="350">
        <f t="shared" si="40"/>
        <v>6092</v>
      </c>
      <c r="V72" s="350">
        <f t="shared" si="41"/>
        <v>3374.4866237083875</v>
      </c>
      <c r="W72" s="352">
        <v>1</v>
      </c>
      <c r="X72" s="350">
        <f t="shared" si="42"/>
        <v>3374.4866237083875</v>
      </c>
      <c r="Y72" s="350">
        <f t="shared" si="43"/>
        <v>3374.4866237083875</v>
      </c>
      <c r="Z72" s="350">
        <f t="shared" si="18"/>
        <v>0</v>
      </c>
      <c r="AA72" s="350">
        <f t="shared" si="44"/>
        <v>101</v>
      </c>
      <c r="AB72" s="350">
        <f t="shared" si="13"/>
        <v>124</v>
      </c>
      <c r="AC72" s="350">
        <f t="shared" si="45"/>
        <v>111</v>
      </c>
      <c r="AD72" s="350">
        <f t="shared" si="15"/>
        <v>123</v>
      </c>
      <c r="AE72" s="350">
        <f t="shared" si="46"/>
        <v>-8.3333333333333329E-2</v>
      </c>
      <c r="AF72" s="350">
        <f t="shared" si="47"/>
        <v>2717.5133762916125</v>
      </c>
      <c r="AG72" s="350"/>
      <c r="AH72" s="350"/>
      <c r="AI72" s="350"/>
    </row>
    <row r="73" spans="2:35">
      <c r="B73" s="818" t="s">
        <v>1131</v>
      </c>
      <c r="C73" s="289">
        <v>2001</v>
      </c>
      <c r="D73" s="289">
        <f t="shared" si="21"/>
        <v>101</v>
      </c>
      <c r="E73" s="289">
        <v>1</v>
      </c>
      <c r="F73" s="351">
        <v>0</v>
      </c>
      <c r="G73" s="344" t="s">
        <v>169</v>
      </c>
      <c r="H73" s="289">
        <v>10</v>
      </c>
      <c r="I73" s="289">
        <f t="shared" si="48"/>
        <v>111</v>
      </c>
      <c r="L73" s="819">
        <v>12374</v>
      </c>
      <c r="M73" s="350">
        <v>0</v>
      </c>
      <c r="N73" s="350">
        <f t="shared" si="34"/>
        <v>12374</v>
      </c>
      <c r="O73" s="350">
        <f t="shared" si="35"/>
        <v>103.11666666666667</v>
      </c>
      <c r="P73" s="350">
        <f t="shared" si="36"/>
        <v>0</v>
      </c>
      <c r="Q73" s="350">
        <f t="shared" si="37"/>
        <v>0</v>
      </c>
      <c r="R73" s="350">
        <f t="shared" si="38"/>
        <v>0</v>
      </c>
      <c r="S73" s="352">
        <f>+'WP-11 - Non-Regulated'!$K$40</f>
        <v>0.5539209822239638</v>
      </c>
      <c r="T73" s="350">
        <f t="shared" si="39"/>
        <v>0</v>
      </c>
      <c r="U73" s="350">
        <f t="shared" si="40"/>
        <v>12374</v>
      </c>
      <c r="V73" s="350">
        <f t="shared" si="41"/>
        <v>6854.2182340393283</v>
      </c>
      <c r="W73" s="352">
        <v>1</v>
      </c>
      <c r="X73" s="350">
        <f t="shared" si="42"/>
        <v>6854.2182340393283</v>
      </c>
      <c r="Y73" s="350">
        <f t="shared" si="43"/>
        <v>6854.2182340393283</v>
      </c>
      <c r="Z73" s="350">
        <f t="shared" si="18"/>
        <v>0</v>
      </c>
      <c r="AA73" s="350">
        <f t="shared" si="44"/>
        <v>101</v>
      </c>
      <c r="AB73" s="350">
        <f t="shared" si="13"/>
        <v>124</v>
      </c>
      <c r="AC73" s="350">
        <f t="shared" si="45"/>
        <v>111</v>
      </c>
      <c r="AD73" s="350">
        <f t="shared" si="15"/>
        <v>123</v>
      </c>
      <c r="AE73" s="350">
        <f t="shared" si="46"/>
        <v>-8.3333333333333329E-2</v>
      </c>
      <c r="AF73" s="350">
        <f t="shared" si="47"/>
        <v>5519.7817659606717</v>
      </c>
      <c r="AG73" s="350"/>
      <c r="AH73" s="350"/>
      <c r="AI73" s="350"/>
    </row>
    <row r="74" spans="2:35">
      <c r="B74" s="818" t="s">
        <v>1132</v>
      </c>
      <c r="C74" s="289">
        <v>2001</v>
      </c>
      <c r="D74" s="289">
        <f t="shared" si="21"/>
        <v>101</v>
      </c>
      <c r="E74" s="289">
        <v>1</v>
      </c>
      <c r="F74" s="351">
        <v>0</v>
      </c>
      <c r="G74" s="344" t="s">
        <v>169</v>
      </c>
      <c r="H74" s="289">
        <v>10</v>
      </c>
      <c r="I74" s="289">
        <f t="shared" si="48"/>
        <v>111</v>
      </c>
      <c r="L74" s="819">
        <v>9839</v>
      </c>
      <c r="M74" s="350">
        <v>0</v>
      </c>
      <c r="N74" s="350">
        <f t="shared" si="34"/>
        <v>9839</v>
      </c>
      <c r="O74" s="350">
        <f t="shared" si="35"/>
        <v>81.99166666666666</v>
      </c>
      <c r="P74" s="350">
        <f t="shared" si="36"/>
        <v>0</v>
      </c>
      <c r="Q74" s="350">
        <f t="shared" si="37"/>
        <v>0</v>
      </c>
      <c r="R74" s="350">
        <f t="shared" si="38"/>
        <v>0</v>
      </c>
      <c r="S74" s="352">
        <f>+'WP-11 - Non-Regulated'!$K$40</f>
        <v>0.5539209822239638</v>
      </c>
      <c r="T74" s="350">
        <f t="shared" si="39"/>
        <v>0</v>
      </c>
      <c r="U74" s="350">
        <f t="shared" si="40"/>
        <v>9839</v>
      </c>
      <c r="V74" s="350">
        <f t="shared" si="41"/>
        <v>5450.0285441015794</v>
      </c>
      <c r="W74" s="352">
        <v>1</v>
      </c>
      <c r="X74" s="350">
        <f t="shared" si="42"/>
        <v>5450.0285441015794</v>
      </c>
      <c r="Y74" s="350">
        <f t="shared" si="43"/>
        <v>5450.0285441015794</v>
      </c>
      <c r="Z74" s="350">
        <f t="shared" si="18"/>
        <v>0</v>
      </c>
      <c r="AA74" s="350">
        <f t="shared" si="44"/>
        <v>101</v>
      </c>
      <c r="AB74" s="350">
        <f t="shared" si="13"/>
        <v>124</v>
      </c>
      <c r="AC74" s="350">
        <f t="shared" si="45"/>
        <v>111</v>
      </c>
      <c r="AD74" s="350">
        <f t="shared" si="15"/>
        <v>123</v>
      </c>
      <c r="AE74" s="350">
        <f t="shared" si="46"/>
        <v>-8.3333333333333329E-2</v>
      </c>
      <c r="AF74" s="350">
        <f t="shared" si="47"/>
        <v>4388.9714558984206</v>
      </c>
      <c r="AG74" s="350"/>
      <c r="AH74" s="350"/>
      <c r="AI74" s="350"/>
    </row>
    <row r="75" spans="2:35">
      <c r="B75" s="818" t="s">
        <v>1133</v>
      </c>
      <c r="C75" s="289">
        <v>2001</v>
      </c>
      <c r="D75" s="289">
        <f t="shared" si="21"/>
        <v>101</v>
      </c>
      <c r="E75" s="289">
        <v>1</v>
      </c>
      <c r="F75" s="351">
        <v>0</v>
      </c>
      <c r="G75" s="344" t="s">
        <v>169</v>
      </c>
      <c r="H75" s="289">
        <v>10</v>
      </c>
      <c r="I75" s="289">
        <f t="shared" si="48"/>
        <v>111</v>
      </c>
      <c r="L75" s="819">
        <v>8862</v>
      </c>
      <c r="M75" s="350">
        <v>0</v>
      </c>
      <c r="N75" s="350">
        <f t="shared" si="34"/>
        <v>8862</v>
      </c>
      <c r="O75" s="350">
        <f t="shared" si="35"/>
        <v>73.850000000000009</v>
      </c>
      <c r="P75" s="350">
        <f t="shared" si="36"/>
        <v>0</v>
      </c>
      <c r="Q75" s="350">
        <f t="shared" si="37"/>
        <v>0</v>
      </c>
      <c r="R75" s="350">
        <f t="shared" si="38"/>
        <v>0</v>
      </c>
      <c r="S75" s="352">
        <f>+'WP-11 - Non-Regulated'!$K$40</f>
        <v>0.5539209822239638</v>
      </c>
      <c r="T75" s="350">
        <f t="shared" si="39"/>
        <v>0</v>
      </c>
      <c r="U75" s="350">
        <f t="shared" si="40"/>
        <v>8862</v>
      </c>
      <c r="V75" s="350">
        <f t="shared" si="41"/>
        <v>4908.8477444687669</v>
      </c>
      <c r="W75" s="352">
        <v>1</v>
      </c>
      <c r="X75" s="350">
        <f t="shared" si="42"/>
        <v>4908.8477444687669</v>
      </c>
      <c r="Y75" s="350">
        <f t="shared" si="43"/>
        <v>4908.8477444687669</v>
      </c>
      <c r="Z75" s="350">
        <f t="shared" si="18"/>
        <v>0</v>
      </c>
      <c r="AA75" s="350">
        <f t="shared" si="44"/>
        <v>101</v>
      </c>
      <c r="AB75" s="350">
        <f t="shared" si="13"/>
        <v>124</v>
      </c>
      <c r="AC75" s="350">
        <f t="shared" si="45"/>
        <v>111</v>
      </c>
      <c r="AD75" s="350">
        <f t="shared" si="15"/>
        <v>123</v>
      </c>
      <c r="AE75" s="350">
        <f t="shared" si="46"/>
        <v>-8.3333333333333329E-2</v>
      </c>
      <c r="AF75" s="350">
        <f t="shared" si="47"/>
        <v>3953.1522555312331</v>
      </c>
      <c r="AG75" s="350"/>
      <c r="AH75" s="350"/>
      <c r="AI75" s="350"/>
    </row>
    <row r="76" spans="2:35">
      <c r="B76" s="818" t="s">
        <v>1134</v>
      </c>
      <c r="C76" s="289">
        <v>2001</v>
      </c>
      <c r="D76" s="289">
        <f t="shared" si="21"/>
        <v>101</v>
      </c>
      <c r="E76" s="289">
        <v>1</v>
      </c>
      <c r="F76" s="351">
        <v>0</v>
      </c>
      <c r="G76" s="344" t="s">
        <v>169</v>
      </c>
      <c r="H76" s="289">
        <v>10</v>
      </c>
      <c r="I76" s="289">
        <f t="shared" si="48"/>
        <v>111</v>
      </c>
      <c r="L76" s="819">
        <v>6885</v>
      </c>
      <c r="M76" s="350">
        <v>0</v>
      </c>
      <c r="N76" s="350">
        <f t="shared" si="34"/>
        <v>6885</v>
      </c>
      <c r="O76" s="350">
        <f t="shared" si="35"/>
        <v>57.375</v>
      </c>
      <c r="P76" s="350">
        <f t="shared" si="36"/>
        <v>0</v>
      </c>
      <c r="Q76" s="350">
        <f t="shared" si="37"/>
        <v>0</v>
      </c>
      <c r="R76" s="350">
        <f t="shared" si="38"/>
        <v>0</v>
      </c>
      <c r="S76" s="352">
        <f>+'WP-11 - Non-Regulated'!$K$40</f>
        <v>0.5539209822239638</v>
      </c>
      <c r="T76" s="350">
        <f t="shared" si="39"/>
        <v>0</v>
      </c>
      <c r="U76" s="350">
        <f t="shared" si="40"/>
        <v>6885</v>
      </c>
      <c r="V76" s="350">
        <f t="shared" si="41"/>
        <v>3813.7459626119908</v>
      </c>
      <c r="W76" s="352">
        <v>1</v>
      </c>
      <c r="X76" s="350">
        <f t="shared" si="42"/>
        <v>3813.7459626119908</v>
      </c>
      <c r="Y76" s="350">
        <f t="shared" si="43"/>
        <v>3813.7459626119908</v>
      </c>
      <c r="Z76" s="350">
        <f t="shared" si="18"/>
        <v>0</v>
      </c>
      <c r="AA76" s="350">
        <f t="shared" si="44"/>
        <v>101</v>
      </c>
      <c r="AB76" s="350">
        <f t="shared" si="13"/>
        <v>124</v>
      </c>
      <c r="AC76" s="350">
        <f t="shared" si="45"/>
        <v>111</v>
      </c>
      <c r="AD76" s="350">
        <f t="shared" si="15"/>
        <v>123</v>
      </c>
      <c r="AE76" s="350">
        <f t="shared" si="46"/>
        <v>-8.3333333333333329E-2</v>
      </c>
      <c r="AF76" s="350">
        <f t="shared" si="47"/>
        <v>3071.2540373880092</v>
      </c>
      <c r="AG76" s="350"/>
      <c r="AH76" s="350"/>
      <c r="AI76" s="350"/>
    </row>
    <row r="77" spans="2:35">
      <c r="B77" s="818" t="s">
        <v>1127</v>
      </c>
      <c r="C77" s="289">
        <v>2001</v>
      </c>
      <c r="D77" s="289">
        <f t="shared" si="21"/>
        <v>101</v>
      </c>
      <c r="E77" s="289">
        <v>1</v>
      </c>
      <c r="F77" s="351">
        <v>0</v>
      </c>
      <c r="G77" s="344" t="s">
        <v>169</v>
      </c>
      <c r="H77" s="289">
        <v>10</v>
      </c>
      <c r="I77" s="289">
        <f t="shared" si="48"/>
        <v>111</v>
      </c>
      <c r="L77" s="819">
        <v>8210</v>
      </c>
      <c r="M77" s="350">
        <v>0</v>
      </c>
      <c r="N77" s="350">
        <f t="shared" si="34"/>
        <v>8210</v>
      </c>
      <c r="O77" s="350">
        <f t="shared" si="35"/>
        <v>68.416666666666671</v>
      </c>
      <c r="P77" s="350">
        <f t="shared" si="36"/>
        <v>0</v>
      </c>
      <c r="Q77" s="350">
        <f t="shared" si="37"/>
        <v>0</v>
      </c>
      <c r="R77" s="350">
        <f t="shared" si="38"/>
        <v>0</v>
      </c>
      <c r="S77" s="352">
        <f>+'WP-11 - Non-Regulated'!$K$40</f>
        <v>0.5539209822239638</v>
      </c>
      <c r="T77" s="350">
        <f t="shared" si="39"/>
        <v>0</v>
      </c>
      <c r="U77" s="350">
        <f t="shared" si="40"/>
        <v>8210</v>
      </c>
      <c r="V77" s="350">
        <f t="shared" si="41"/>
        <v>4547.6912640587425</v>
      </c>
      <c r="W77" s="352">
        <v>1</v>
      </c>
      <c r="X77" s="350">
        <f t="shared" si="42"/>
        <v>4547.6912640587425</v>
      </c>
      <c r="Y77" s="350">
        <f t="shared" si="43"/>
        <v>4547.6912640587425</v>
      </c>
      <c r="Z77" s="350">
        <f t="shared" si="18"/>
        <v>0</v>
      </c>
      <c r="AA77" s="350">
        <f t="shared" si="44"/>
        <v>101</v>
      </c>
      <c r="AB77" s="350">
        <f t="shared" si="13"/>
        <v>124</v>
      </c>
      <c r="AC77" s="350">
        <f t="shared" si="45"/>
        <v>111</v>
      </c>
      <c r="AD77" s="350">
        <f t="shared" si="15"/>
        <v>123</v>
      </c>
      <c r="AE77" s="350">
        <f t="shared" si="46"/>
        <v>-8.3333333333333329E-2</v>
      </c>
      <c r="AF77" s="350">
        <f t="shared" si="47"/>
        <v>3662.3087359412575</v>
      </c>
      <c r="AG77" s="350"/>
      <c r="AH77" s="350"/>
      <c r="AI77" s="350"/>
    </row>
    <row r="78" spans="2:35">
      <c r="B78" s="818" t="s">
        <v>1135</v>
      </c>
      <c r="C78" s="289">
        <v>2001</v>
      </c>
      <c r="D78" s="289">
        <f t="shared" si="21"/>
        <v>101</v>
      </c>
      <c r="E78" s="289">
        <v>1</v>
      </c>
      <c r="F78" s="351">
        <v>0</v>
      </c>
      <c r="G78" s="344" t="s">
        <v>169</v>
      </c>
      <c r="H78" s="289">
        <v>10</v>
      </c>
      <c r="I78" s="289">
        <f t="shared" si="48"/>
        <v>111</v>
      </c>
      <c r="L78" s="819">
        <v>10182</v>
      </c>
      <c r="M78" s="350">
        <v>0</v>
      </c>
      <c r="N78" s="350">
        <f t="shared" si="34"/>
        <v>10182</v>
      </c>
      <c r="O78" s="350">
        <f t="shared" si="35"/>
        <v>84.850000000000009</v>
      </c>
      <c r="P78" s="350">
        <f t="shared" si="36"/>
        <v>0</v>
      </c>
      <c r="Q78" s="350">
        <f t="shared" si="37"/>
        <v>0</v>
      </c>
      <c r="R78" s="350">
        <f t="shared" si="38"/>
        <v>0</v>
      </c>
      <c r="S78" s="352">
        <f>+'WP-11 - Non-Regulated'!$K$40</f>
        <v>0.5539209822239638</v>
      </c>
      <c r="T78" s="350">
        <f t="shared" si="39"/>
        <v>0</v>
      </c>
      <c r="U78" s="350">
        <f t="shared" si="40"/>
        <v>10182</v>
      </c>
      <c r="V78" s="350">
        <f t="shared" si="41"/>
        <v>5640.0234410043995</v>
      </c>
      <c r="W78" s="352">
        <v>1</v>
      </c>
      <c r="X78" s="350">
        <f t="shared" si="42"/>
        <v>5640.0234410043995</v>
      </c>
      <c r="Y78" s="350">
        <f t="shared" si="43"/>
        <v>5640.0234410043995</v>
      </c>
      <c r="Z78" s="350">
        <f t="shared" si="18"/>
        <v>0</v>
      </c>
      <c r="AA78" s="350">
        <f t="shared" si="44"/>
        <v>101</v>
      </c>
      <c r="AB78" s="350">
        <f t="shared" si="13"/>
        <v>124</v>
      </c>
      <c r="AC78" s="350">
        <f t="shared" si="45"/>
        <v>111</v>
      </c>
      <c r="AD78" s="350">
        <f t="shared" si="15"/>
        <v>123</v>
      </c>
      <c r="AE78" s="350">
        <f t="shared" si="46"/>
        <v>-8.3333333333333329E-2</v>
      </c>
      <c r="AF78" s="350">
        <f t="shared" si="47"/>
        <v>4541.9765589956005</v>
      </c>
      <c r="AG78" s="350"/>
      <c r="AH78" s="350"/>
      <c r="AI78" s="350"/>
    </row>
    <row r="79" spans="2:35">
      <c r="B79" s="818" t="s">
        <v>1135</v>
      </c>
      <c r="C79" s="289">
        <v>2001</v>
      </c>
      <c r="D79" s="289">
        <f t="shared" si="21"/>
        <v>101</v>
      </c>
      <c r="E79" s="289">
        <v>1</v>
      </c>
      <c r="F79" s="351">
        <v>0</v>
      </c>
      <c r="G79" s="344" t="s">
        <v>169</v>
      </c>
      <c r="H79" s="289">
        <v>10</v>
      </c>
      <c r="I79" s="289">
        <f t="shared" si="48"/>
        <v>111</v>
      </c>
      <c r="L79" s="819">
        <v>10166</v>
      </c>
      <c r="M79" s="350">
        <v>0</v>
      </c>
      <c r="N79" s="350">
        <f t="shared" si="34"/>
        <v>10166</v>
      </c>
      <c r="O79" s="350">
        <f t="shared" si="35"/>
        <v>84.716666666666669</v>
      </c>
      <c r="P79" s="350">
        <f t="shared" si="36"/>
        <v>0</v>
      </c>
      <c r="Q79" s="350">
        <f t="shared" si="37"/>
        <v>0</v>
      </c>
      <c r="R79" s="350">
        <f t="shared" si="38"/>
        <v>0</v>
      </c>
      <c r="S79" s="352">
        <f>+'WP-11 - Non-Regulated'!$K$40</f>
        <v>0.5539209822239638</v>
      </c>
      <c r="T79" s="350">
        <f t="shared" si="39"/>
        <v>0</v>
      </c>
      <c r="U79" s="350">
        <f t="shared" si="40"/>
        <v>10166</v>
      </c>
      <c r="V79" s="350">
        <f t="shared" si="41"/>
        <v>5631.1607052888157</v>
      </c>
      <c r="W79" s="352">
        <v>1</v>
      </c>
      <c r="X79" s="350">
        <f t="shared" si="42"/>
        <v>5631.1607052888157</v>
      </c>
      <c r="Y79" s="350">
        <f t="shared" si="43"/>
        <v>5631.1607052888157</v>
      </c>
      <c r="Z79" s="350">
        <f t="shared" si="18"/>
        <v>0</v>
      </c>
      <c r="AA79" s="350">
        <f t="shared" si="44"/>
        <v>101</v>
      </c>
      <c r="AB79" s="350">
        <f t="shared" si="13"/>
        <v>124</v>
      </c>
      <c r="AC79" s="350">
        <f t="shared" si="45"/>
        <v>111</v>
      </c>
      <c r="AD79" s="350">
        <f t="shared" si="15"/>
        <v>123</v>
      </c>
      <c r="AE79" s="350">
        <f t="shared" si="46"/>
        <v>-8.3333333333333329E-2</v>
      </c>
      <c r="AF79" s="350">
        <f t="shared" si="47"/>
        <v>4534.8392947111843</v>
      </c>
      <c r="AG79" s="350"/>
      <c r="AH79" s="350"/>
      <c r="AI79" s="350"/>
    </row>
    <row r="80" spans="2:35">
      <c r="B80" s="818" t="s">
        <v>1136</v>
      </c>
      <c r="C80" s="289">
        <v>2001</v>
      </c>
      <c r="D80" s="289">
        <f t="shared" si="21"/>
        <v>101</v>
      </c>
      <c r="E80" s="289">
        <v>1</v>
      </c>
      <c r="F80" s="351">
        <v>0</v>
      </c>
      <c r="G80" s="344" t="s">
        <v>169</v>
      </c>
      <c r="H80" s="289">
        <v>10</v>
      </c>
      <c r="I80" s="289">
        <f t="shared" si="48"/>
        <v>111</v>
      </c>
      <c r="L80" s="819">
        <v>21229</v>
      </c>
      <c r="M80" s="350">
        <v>0</v>
      </c>
      <c r="N80" s="350">
        <f t="shared" si="34"/>
        <v>21229</v>
      </c>
      <c r="O80" s="350">
        <f t="shared" si="35"/>
        <v>176.90833333333333</v>
      </c>
      <c r="P80" s="350">
        <f t="shared" si="36"/>
        <v>0</v>
      </c>
      <c r="Q80" s="350">
        <f t="shared" si="37"/>
        <v>0</v>
      </c>
      <c r="R80" s="350">
        <f t="shared" si="38"/>
        <v>0</v>
      </c>
      <c r="S80" s="352">
        <f>+'WP-11 - Non-Regulated'!$K$40</f>
        <v>0.5539209822239638</v>
      </c>
      <c r="T80" s="350">
        <f t="shared" si="39"/>
        <v>0</v>
      </c>
      <c r="U80" s="350">
        <f t="shared" si="40"/>
        <v>21229</v>
      </c>
      <c r="V80" s="350">
        <f t="shared" si="41"/>
        <v>11759.188531632528</v>
      </c>
      <c r="W80" s="352">
        <v>1</v>
      </c>
      <c r="X80" s="350">
        <f t="shared" si="42"/>
        <v>11759.188531632528</v>
      </c>
      <c r="Y80" s="350">
        <f t="shared" si="43"/>
        <v>11759.188531632528</v>
      </c>
      <c r="Z80" s="350">
        <f t="shared" si="18"/>
        <v>0</v>
      </c>
      <c r="AA80" s="350">
        <f t="shared" si="44"/>
        <v>101</v>
      </c>
      <c r="AB80" s="350">
        <f t="shared" si="13"/>
        <v>124</v>
      </c>
      <c r="AC80" s="350">
        <f t="shared" si="45"/>
        <v>111</v>
      </c>
      <c r="AD80" s="350">
        <f t="shared" si="15"/>
        <v>123</v>
      </c>
      <c r="AE80" s="350">
        <f t="shared" si="46"/>
        <v>-8.3333333333333329E-2</v>
      </c>
      <c r="AF80" s="350">
        <f t="shared" si="47"/>
        <v>9469.8114683674721</v>
      </c>
      <c r="AG80" s="350"/>
      <c r="AH80" s="350"/>
      <c r="AI80" s="350"/>
    </row>
    <row r="81" spans="2:35">
      <c r="B81" s="818" t="s">
        <v>1137</v>
      </c>
      <c r="C81" s="289">
        <v>2001</v>
      </c>
      <c r="D81" s="289">
        <f t="shared" si="21"/>
        <v>101</v>
      </c>
      <c r="E81" s="289">
        <v>1</v>
      </c>
      <c r="F81" s="351">
        <v>0</v>
      </c>
      <c r="G81" s="344" t="s">
        <v>169</v>
      </c>
      <c r="H81" s="289">
        <v>10</v>
      </c>
      <c r="I81" s="289">
        <f t="shared" si="48"/>
        <v>111</v>
      </c>
      <c r="L81" s="819">
        <v>61195</v>
      </c>
      <c r="M81" s="350">
        <v>0</v>
      </c>
      <c r="N81" s="350">
        <f t="shared" si="34"/>
        <v>61195</v>
      </c>
      <c r="O81" s="350">
        <f t="shared" si="35"/>
        <v>509.95833333333331</v>
      </c>
      <c r="P81" s="350">
        <f t="shared" si="36"/>
        <v>0</v>
      </c>
      <c r="Q81" s="350">
        <f t="shared" si="37"/>
        <v>0</v>
      </c>
      <c r="R81" s="350">
        <f t="shared" si="38"/>
        <v>0</v>
      </c>
      <c r="S81" s="352">
        <f>+'WP-11 - Non-Regulated'!$K$40</f>
        <v>0.5539209822239638</v>
      </c>
      <c r="T81" s="350">
        <f t="shared" si="39"/>
        <v>0</v>
      </c>
      <c r="U81" s="350">
        <f t="shared" si="40"/>
        <v>61195</v>
      </c>
      <c r="V81" s="350">
        <f t="shared" si="41"/>
        <v>33897.194507195461</v>
      </c>
      <c r="W81" s="352">
        <v>1</v>
      </c>
      <c r="X81" s="350">
        <f t="shared" si="42"/>
        <v>33897.194507195461</v>
      </c>
      <c r="Y81" s="350">
        <f t="shared" si="43"/>
        <v>33897.194507195461</v>
      </c>
      <c r="Z81" s="350">
        <f t="shared" si="18"/>
        <v>0</v>
      </c>
      <c r="AA81" s="350">
        <f t="shared" si="44"/>
        <v>101</v>
      </c>
      <c r="AB81" s="350">
        <f t="shared" ref="AB81:AB121" si="49">($B$10+1)-($B$7/12)</f>
        <v>124</v>
      </c>
      <c r="AC81" s="350">
        <f t="shared" si="45"/>
        <v>111</v>
      </c>
      <c r="AD81" s="350">
        <f t="shared" ref="AD81:AD121" si="50">$B$9+($B$8/12)</f>
        <v>123</v>
      </c>
      <c r="AE81" s="350">
        <f t="shared" si="46"/>
        <v>-8.3333333333333329E-2</v>
      </c>
      <c r="AF81" s="350">
        <f t="shared" si="47"/>
        <v>27297.805492804539</v>
      </c>
      <c r="AG81" s="350"/>
      <c r="AH81" s="350"/>
      <c r="AI81" s="350"/>
    </row>
    <row r="82" spans="2:35">
      <c r="B82" s="818" t="s">
        <v>1138</v>
      </c>
      <c r="C82" s="289">
        <v>2001</v>
      </c>
      <c r="D82" s="289">
        <f t="shared" si="21"/>
        <v>101</v>
      </c>
      <c r="E82" s="289">
        <v>1</v>
      </c>
      <c r="F82" s="351">
        <v>0</v>
      </c>
      <c r="G82" s="344" t="s">
        <v>169</v>
      </c>
      <c r="H82" s="289">
        <v>10</v>
      </c>
      <c r="I82" s="289">
        <f t="shared" si="48"/>
        <v>111</v>
      </c>
      <c r="L82" s="819">
        <v>38000</v>
      </c>
      <c r="M82" s="350">
        <v>0</v>
      </c>
      <c r="N82" s="350">
        <f t="shared" si="34"/>
        <v>38000</v>
      </c>
      <c r="O82" s="350">
        <f t="shared" si="35"/>
        <v>316.66666666666669</v>
      </c>
      <c r="P82" s="350">
        <f t="shared" si="36"/>
        <v>0</v>
      </c>
      <c r="Q82" s="350">
        <f t="shared" si="37"/>
        <v>0</v>
      </c>
      <c r="R82" s="350">
        <f t="shared" si="38"/>
        <v>0</v>
      </c>
      <c r="S82" s="352">
        <f>+'WP-11 - Non-Regulated'!$K$40</f>
        <v>0.5539209822239638</v>
      </c>
      <c r="T82" s="350">
        <f t="shared" si="39"/>
        <v>0</v>
      </c>
      <c r="U82" s="350">
        <f t="shared" si="40"/>
        <v>38000</v>
      </c>
      <c r="V82" s="350">
        <f t="shared" si="41"/>
        <v>21048.997324510623</v>
      </c>
      <c r="W82" s="352">
        <v>1</v>
      </c>
      <c r="X82" s="350">
        <f t="shared" si="42"/>
        <v>21048.997324510623</v>
      </c>
      <c r="Y82" s="350">
        <f t="shared" si="43"/>
        <v>21048.997324510623</v>
      </c>
      <c r="Z82" s="350">
        <f t="shared" ref="Z82:Z122" si="51">IF((N82-((AB82-AA82)*12*O82))&lt;0,0,(N82-((AB82-AA82)*12*(O82)))*S82)</f>
        <v>0</v>
      </c>
      <c r="AA82" s="350">
        <f t="shared" si="44"/>
        <v>101</v>
      </c>
      <c r="AB82" s="350">
        <f t="shared" si="49"/>
        <v>124</v>
      </c>
      <c r="AC82" s="350">
        <f t="shared" si="45"/>
        <v>111</v>
      </c>
      <c r="AD82" s="350">
        <f t="shared" si="50"/>
        <v>123</v>
      </c>
      <c r="AE82" s="350">
        <f t="shared" si="46"/>
        <v>-8.3333333333333329E-2</v>
      </c>
      <c r="AF82" s="350">
        <f t="shared" si="47"/>
        <v>16951.002675489377</v>
      </c>
      <c r="AG82" s="350"/>
      <c r="AH82" s="350"/>
      <c r="AI82" s="350"/>
    </row>
    <row r="83" spans="2:35">
      <c r="B83" s="818" t="s">
        <v>1139</v>
      </c>
      <c r="C83" s="289">
        <v>2001</v>
      </c>
      <c r="D83" s="289">
        <f t="shared" si="21"/>
        <v>101</v>
      </c>
      <c r="E83" s="289">
        <v>1</v>
      </c>
      <c r="F83" s="351">
        <v>0</v>
      </c>
      <c r="G83" s="344" t="s">
        <v>169</v>
      </c>
      <c r="H83" s="289">
        <v>10</v>
      </c>
      <c r="I83" s="289">
        <f t="shared" si="48"/>
        <v>111</v>
      </c>
      <c r="L83" s="819">
        <v>9491</v>
      </c>
      <c r="M83" s="350">
        <v>0</v>
      </c>
      <c r="N83" s="350">
        <f t="shared" si="34"/>
        <v>9491</v>
      </c>
      <c r="O83" s="350">
        <f t="shared" si="35"/>
        <v>79.091666666666669</v>
      </c>
      <c r="P83" s="350">
        <f t="shared" si="36"/>
        <v>0</v>
      </c>
      <c r="Q83" s="350">
        <f t="shared" si="37"/>
        <v>0</v>
      </c>
      <c r="R83" s="350">
        <f t="shared" si="38"/>
        <v>0</v>
      </c>
      <c r="S83" s="352">
        <f>+'WP-11 - Non-Regulated'!$K$40</f>
        <v>0.5539209822239638</v>
      </c>
      <c r="T83" s="350">
        <f t="shared" si="39"/>
        <v>0</v>
      </c>
      <c r="U83" s="350">
        <f t="shared" si="40"/>
        <v>9491</v>
      </c>
      <c r="V83" s="350">
        <f t="shared" si="41"/>
        <v>5257.2640422876402</v>
      </c>
      <c r="W83" s="352">
        <v>1</v>
      </c>
      <c r="X83" s="350">
        <f t="shared" si="42"/>
        <v>5257.2640422876402</v>
      </c>
      <c r="Y83" s="350">
        <f t="shared" si="43"/>
        <v>5257.2640422876402</v>
      </c>
      <c r="Z83" s="350">
        <f t="shared" si="51"/>
        <v>0</v>
      </c>
      <c r="AA83" s="350">
        <f t="shared" si="44"/>
        <v>101</v>
      </c>
      <c r="AB83" s="350">
        <f t="shared" si="49"/>
        <v>124</v>
      </c>
      <c r="AC83" s="350">
        <f t="shared" si="45"/>
        <v>111</v>
      </c>
      <c r="AD83" s="350">
        <f t="shared" si="50"/>
        <v>123</v>
      </c>
      <c r="AE83" s="350">
        <f t="shared" si="46"/>
        <v>-8.3333333333333329E-2</v>
      </c>
      <c r="AF83" s="350">
        <f t="shared" si="47"/>
        <v>4233.7359577123598</v>
      </c>
      <c r="AG83" s="350"/>
      <c r="AH83" s="350"/>
      <c r="AI83" s="350"/>
    </row>
    <row r="84" spans="2:35">
      <c r="B84" s="818" t="s">
        <v>1140</v>
      </c>
      <c r="C84" s="289">
        <v>2001</v>
      </c>
      <c r="D84" s="289">
        <f t="shared" si="21"/>
        <v>101</v>
      </c>
      <c r="E84" s="289">
        <v>1</v>
      </c>
      <c r="F84" s="351">
        <v>0</v>
      </c>
      <c r="G84" s="344" t="s">
        <v>169</v>
      </c>
      <c r="H84" s="289">
        <v>10</v>
      </c>
      <c r="I84" s="289">
        <f t="shared" si="48"/>
        <v>111</v>
      </c>
      <c r="L84" s="819">
        <v>12475</v>
      </c>
      <c r="M84" s="350">
        <v>0</v>
      </c>
      <c r="N84" s="350">
        <f t="shared" si="34"/>
        <v>12475</v>
      </c>
      <c r="O84" s="350">
        <f t="shared" si="35"/>
        <v>103.95833333333333</v>
      </c>
      <c r="P84" s="350">
        <f t="shared" si="36"/>
        <v>0</v>
      </c>
      <c r="Q84" s="350">
        <f t="shared" si="37"/>
        <v>0</v>
      </c>
      <c r="R84" s="350">
        <f t="shared" si="38"/>
        <v>0</v>
      </c>
      <c r="S84" s="352">
        <f>+'WP-11 - Non-Regulated'!$K$40</f>
        <v>0.5539209822239638</v>
      </c>
      <c r="T84" s="350">
        <f t="shared" si="39"/>
        <v>0</v>
      </c>
      <c r="U84" s="350">
        <f t="shared" si="40"/>
        <v>12475</v>
      </c>
      <c r="V84" s="350">
        <f t="shared" si="41"/>
        <v>6910.1642532439482</v>
      </c>
      <c r="W84" s="352">
        <v>1</v>
      </c>
      <c r="X84" s="350">
        <f t="shared" si="42"/>
        <v>6910.1642532439482</v>
      </c>
      <c r="Y84" s="350">
        <f t="shared" si="43"/>
        <v>6910.1642532439482</v>
      </c>
      <c r="Z84" s="350">
        <f t="shared" si="51"/>
        <v>0</v>
      </c>
      <c r="AA84" s="350">
        <f t="shared" si="44"/>
        <v>101</v>
      </c>
      <c r="AB84" s="350">
        <f t="shared" si="49"/>
        <v>124</v>
      </c>
      <c r="AC84" s="350">
        <f t="shared" si="45"/>
        <v>111</v>
      </c>
      <c r="AD84" s="350">
        <f t="shared" si="50"/>
        <v>123</v>
      </c>
      <c r="AE84" s="350">
        <f t="shared" si="46"/>
        <v>-8.3333333333333329E-2</v>
      </c>
      <c r="AF84" s="350">
        <f t="shared" si="47"/>
        <v>5564.8357467560518</v>
      </c>
      <c r="AG84" s="350"/>
      <c r="AH84" s="350"/>
      <c r="AI84" s="350"/>
    </row>
    <row r="85" spans="2:35">
      <c r="B85" s="818" t="s">
        <v>1141</v>
      </c>
      <c r="C85" s="289">
        <v>2001</v>
      </c>
      <c r="D85" s="289">
        <f t="shared" si="21"/>
        <v>101</v>
      </c>
      <c r="E85" s="289">
        <v>1</v>
      </c>
      <c r="F85" s="351">
        <v>0</v>
      </c>
      <c r="G85" s="344" t="s">
        <v>169</v>
      </c>
      <c r="H85" s="289">
        <v>10</v>
      </c>
      <c r="I85" s="289">
        <f t="shared" si="48"/>
        <v>111</v>
      </c>
      <c r="L85" s="819">
        <v>4042</v>
      </c>
      <c r="M85" s="350">
        <v>0</v>
      </c>
      <c r="N85" s="350">
        <f t="shared" si="34"/>
        <v>4042</v>
      </c>
      <c r="O85" s="350">
        <f t="shared" si="35"/>
        <v>33.68333333333333</v>
      </c>
      <c r="P85" s="350">
        <f t="shared" si="36"/>
        <v>0</v>
      </c>
      <c r="Q85" s="350">
        <f t="shared" si="37"/>
        <v>0</v>
      </c>
      <c r="R85" s="350">
        <f t="shared" si="38"/>
        <v>0</v>
      </c>
      <c r="S85" s="352">
        <f>+'WP-11 - Non-Regulated'!$K$40</f>
        <v>0.5539209822239638</v>
      </c>
      <c r="T85" s="350">
        <f t="shared" si="39"/>
        <v>0</v>
      </c>
      <c r="U85" s="350">
        <f t="shared" si="40"/>
        <v>4042</v>
      </c>
      <c r="V85" s="350">
        <f t="shared" si="41"/>
        <v>2238.9486101492616</v>
      </c>
      <c r="W85" s="352">
        <v>1</v>
      </c>
      <c r="X85" s="350">
        <f t="shared" si="42"/>
        <v>2238.9486101492616</v>
      </c>
      <c r="Y85" s="350">
        <f t="shared" si="43"/>
        <v>2238.9486101492616</v>
      </c>
      <c r="Z85" s="350">
        <f t="shared" si="51"/>
        <v>0</v>
      </c>
      <c r="AA85" s="350">
        <f t="shared" si="44"/>
        <v>101</v>
      </c>
      <c r="AB85" s="350">
        <f t="shared" si="49"/>
        <v>124</v>
      </c>
      <c r="AC85" s="350">
        <f t="shared" si="45"/>
        <v>111</v>
      </c>
      <c r="AD85" s="350">
        <f t="shared" si="50"/>
        <v>123</v>
      </c>
      <c r="AE85" s="350">
        <f t="shared" si="46"/>
        <v>-8.3333333333333329E-2</v>
      </c>
      <c r="AF85" s="350">
        <f t="shared" si="47"/>
        <v>1803.0513898507384</v>
      </c>
      <c r="AG85" s="350"/>
      <c r="AH85" s="350"/>
      <c r="AI85" s="350"/>
    </row>
    <row r="86" spans="2:35">
      <c r="B86" s="818" t="s">
        <v>1142</v>
      </c>
      <c r="C86" s="289">
        <v>2001</v>
      </c>
      <c r="D86" s="289">
        <f t="shared" si="21"/>
        <v>101</v>
      </c>
      <c r="E86" s="289">
        <v>1</v>
      </c>
      <c r="F86" s="351">
        <v>0</v>
      </c>
      <c r="G86" s="344" t="s">
        <v>169</v>
      </c>
      <c r="H86" s="289">
        <v>10</v>
      </c>
      <c r="I86" s="289">
        <f t="shared" si="48"/>
        <v>111</v>
      </c>
      <c r="L86" s="819">
        <v>5730</v>
      </c>
      <c r="M86" s="350">
        <v>0</v>
      </c>
      <c r="N86" s="350">
        <f t="shared" si="34"/>
        <v>5730</v>
      </c>
      <c r="O86" s="350">
        <f t="shared" si="35"/>
        <v>47.75</v>
      </c>
      <c r="P86" s="350">
        <f t="shared" si="36"/>
        <v>0</v>
      </c>
      <c r="Q86" s="350">
        <f t="shared" si="37"/>
        <v>0</v>
      </c>
      <c r="R86" s="350">
        <f t="shared" si="38"/>
        <v>0</v>
      </c>
      <c r="S86" s="352">
        <f>+'WP-11 - Non-Regulated'!$K$40</f>
        <v>0.5539209822239638</v>
      </c>
      <c r="T86" s="350">
        <f t="shared" si="39"/>
        <v>0</v>
      </c>
      <c r="U86" s="350">
        <f t="shared" si="40"/>
        <v>5730</v>
      </c>
      <c r="V86" s="350">
        <f t="shared" si="41"/>
        <v>3173.9672281433127</v>
      </c>
      <c r="W86" s="352">
        <v>1</v>
      </c>
      <c r="X86" s="350">
        <f t="shared" si="42"/>
        <v>3173.9672281433127</v>
      </c>
      <c r="Y86" s="350">
        <f t="shared" si="43"/>
        <v>3173.9672281433127</v>
      </c>
      <c r="Z86" s="350">
        <f t="shared" si="51"/>
        <v>0</v>
      </c>
      <c r="AA86" s="350">
        <f t="shared" si="44"/>
        <v>101</v>
      </c>
      <c r="AB86" s="350">
        <f t="shared" si="49"/>
        <v>124</v>
      </c>
      <c r="AC86" s="350">
        <f t="shared" si="45"/>
        <v>111</v>
      </c>
      <c r="AD86" s="350">
        <f t="shared" si="50"/>
        <v>123</v>
      </c>
      <c r="AE86" s="350">
        <f t="shared" si="46"/>
        <v>-8.3333333333333329E-2</v>
      </c>
      <c r="AF86" s="350">
        <f t="shared" si="47"/>
        <v>2556.0327718566873</v>
      </c>
      <c r="AG86" s="350"/>
      <c r="AH86" s="350"/>
      <c r="AI86" s="350"/>
    </row>
    <row r="87" spans="2:35">
      <c r="B87" s="818" t="s">
        <v>1143</v>
      </c>
      <c r="C87" s="289">
        <v>2001</v>
      </c>
      <c r="D87" s="289">
        <f t="shared" si="21"/>
        <v>101</v>
      </c>
      <c r="E87" s="289">
        <v>1</v>
      </c>
      <c r="F87" s="351">
        <v>0</v>
      </c>
      <c r="G87" s="344" t="s">
        <v>169</v>
      </c>
      <c r="H87" s="289">
        <v>10</v>
      </c>
      <c r="I87" s="289">
        <f t="shared" si="48"/>
        <v>111</v>
      </c>
      <c r="L87" s="819">
        <v>7580</v>
      </c>
      <c r="M87" s="350">
        <v>0</v>
      </c>
      <c r="N87" s="350">
        <f t="shared" si="34"/>
        <v>7580</v>
      </c>
      <c r="O87" s="350">
        <f t="shared" si="35"/>
        <v>63.166666666666664</v>
      </c>
      <c r="P87" s="350">
        <f t="shared" si="36"/>
        <v>0</v>
      </c>
      <c r="Q87" s="350">
        <f t="shared" si="37"/>
        <v>0</v>
      </c>
      <c r="R87" s="350">
        <f t="shared" si="38"/>
        <v>0</v>
      </c>
      <c r="S87" s="352">
        <f>+'WP-11 - Non-Regulated'!$K$40</f>
        <v>0.5539209822239638</v>
      </c>
      <c r="T87" s="350">
        <f t="shared" si="39"/>
        <v>0</v>
      </c>
      <c r="U87" s="350">
        <f t="shared" si="40"/>
        <v>7580</v>
      </c>
      <c r="V87" s="350">
        <f t="shared" si="41"/>
        <v>4198.7210452576455</v>
      </c>
      <c r="W87" s="352">
        <v>1</v>
      </c>
      <c r="X87" s="350">
        <f t="shared" si="42"/>
        <v>4198.7210452576455</v>
      </c>
      <c r="Y87" s="350">
        <f t="shared" si="43"/>
        <v>4198.7210452576455</v>
      </c>
      <c r="Z87" s="350">
        <f t="shared" si="51"/>
        <v>0</v>
      </c>
      <c r="AA87" s="350">
        <f t="shared" si="44"/>
        <v>101</v>
      </c>
      <c r="AB87" s="350">
        <f t="shared" si="49"/>
        <v>124</v>
      </c>
      <c r="AC87" s="350">
        <f t="shared" si="45"/>
        <v>111</v>
      </c>
      <c r="AD87" s="350">
        <f t="shared" si="50"/>
        <v>123</v>
      </c>
      <c r="AE87" s="350">
        <f t="shared" si="46"/>
        <v>-8.3333333333333329E-2</v>
      </c>
      <c r="AF87" s="350">
        <f t="shared" si="47"/>
        <v>3381.2789547423545</v>
      </c>
      <c r="AG87" s="350"/>
      <c r="AH87" s="350"/>
      <c r="AI87" s="350"/>
    </row>
    <row r="88" spans="2:35">
      <c r="B88" s="818" t="s">
        <v>1144</v>
      </c>
      <c r="C88" s="289">
        <v>2001</v>
      </c>
      <c r="D88" s="289">
        <f t="shared" si="21"/>
        <v>101</v>
      </c>
      <c r="E88" s="289">
        <v>1</v>
      </c>
      <c r="F88" s="351">
        <v>0</v>
      </c>
      <c r="G88" s="344" t="s">
        <v>169</v>
      </c>
      <c r="H88" s="289">
        <v>10</v>
      </c>
      <c r="I88" s="289">
        <f t="shared" si="48"/>
        <v>111</v>
      </c>
      <c r="L88" s="819">
        <v>20420</v>
      </c>
      <c r="M88" s="350">
        <v>0</v>
      </c>
      <c r="N88" s="350">
        <f t="shared" si="34"/>
        <v>20420</v>
      </c>
      <c r="O88" s="350">
        <f t="shared" si="35"/>
        <v>170.16666666666666</v>
      </c>
      <c r="P88" s="350">
        <f t="shared" si="36"/>
        <v>0</v>
      </c>
      <c r="Q88" s="350">
        <f t="shared" si="37"/>
        <v>0</v>
      </c>
      <c r="R88" s="350">
        <f t="shared" si="38"/>
        <v>0</v>
      </c>
      <c r="S88" s="352">
        <f>+'WP-11 - Non-Regulated'!$K$40</f>
        <v>0.5539209822239638</v>
      </c>
      <c r="T88" s="350">
        <f t="shared" si="39"/>
        <v>0</v>
      </c>
      <c r="U88" s="350">
        <f t="shared" si="40"/>
        <v>20420</v>
      </c>
      <c r="V88" s="350">
        <f t="shared" si="41"/>
        <v>11311.066457013341</v>
      </c>
      <c r="W88" s="352">
        <v>1</v>
      </c>
      <c r="X88" s="350">
        <f t="shared" si="42"/>
        <v>11311.066457013341</v>
      </c>
      <c r="Y88" s="350">
        <f t="shared" si="43"/>
        <v>11311.066457013341</v>
      </c>
      <c r="Z88" s="350">
        <f t="shared" si="51"/>
        <v>0</v>
      </c>
      <c r="AA88" s="350">
        <f t="shared" si="44"/>
        <v>101</v>
      </c>
      <c r="AB88" s="350">
        <f t="shared" si="49"/>
        <v>124</v>
      </c>
      <c r="AC88" s="350">
        <f t="shared" si="45"/>
        <v>111</v>
      </c>
      <c r="AD88" s="350">
        <f t="shared" si="50"/>
        <v>123</v>
      </c>
      <c r="AE88" s="350">
        <f t="shared" si="46"/>
        <v>-8.3333333333333329E-2</v>
      </c>
      <c r="AF88" s="350">
        <f t="shared" si="47"/>
        <v>9108.9335429866587</v>
      </c>
      <c r="AG88" s="350"/>
      <c r="AH88" s="350"/>
      <c r="AI88" s="350"/>
    </row>
    <row r="89" spans="2:35">
      <c r="B89" s="818" t="s">
        <v>1145</v>
      </c>
      <c r="C89" s="289">
        <v>2002</v>
      </c>
      <c r="D89" s="289">
        <f t="shared" si="21"/>
        <v>102</v>
      </c>
      <c r="E89" s="289">
        <v>1</v>
      </c>
      <c r="F89" s="351">
        <v>0</v>
      </c>
      <c r="G89" s="344" t="s">
        <v>169</v>
      </c>
      <c r="H89" s="289">
        <v>10</v>
      </c>
      <c r="I89" s="289">
        <f t="shared" si="48"/>
        <v>112</v>
      </c>
      <c r="L89" s="819">
        <v>5519</v>
      </c>
      <c r="M89" s="350">
        <v>0</v>
      </c>
      <c r="N89" s="350">
        <f t="shared" si="34"/>
        <v>5519</v>
      </c>
      <c r="O89" s="350">
        <f t="shared" si="35"/>
        <v>45.991666666666667</v>
      </c>
      <c r="P89" s="350">
        <f t="shared" si="36"/>
        <v>0</v>
      </c>
      <c r="Q89" s="350">
        <f t="shared" si="37"/>
        <v>0</v>
      </c>
      <c r="R89" s="350">
        <f t="shared" si="38"/>
        <v>0</v>
      </c>
      <c r="S89" s="352">
        <f>+'WP-11 - Non-Regulated'!$K$40</f>
        <v>0.5539209822239638</v>
      </c>
      <c r="T89" s="350">
        <f t="shared" si="39"/>
        <v>0</v>
      </c>
      <c r="U89" s="350">
        <f t="shared" si="40"/>
        <v>5519</v>
      </c>
      <c r="V89" s="350">
        <f t="shared" si="41"/>
        <v>3057.0899008940564</v>
      </c>
      <c r="W89" s="352">
        <v>1</v>
      </c>
      <c r="X89" s="350">
        <f t="shared" si="42"/>
        <v>3057.0899008940564</v>
      </c>
      <c r="Y89" s="350">
        <f t="shared" si="43"/>
        <v>3057.0899008940564</v>
      </c>
      <c r="Z89" s="350">
        <f t="shared" si="51"/>
        <v>0</v>
      </c>
      <c r="AA89" s="350">
        <f t="shared" si="44"/>
        <v>102</v>
      </c>
      <c r="AB89" s="350">
        <f t="shared" si="49"/>
        <v>124</v>
      </c>
      <c r="AC89" s="350">
        <f t="shared" si="45"/>
        <v>112</v>
      </c>
      <c r="AD89" s="350">
        <f t="shared" si="50"/>
        <v>123</v>
      </c>
      <c r="AE89" s="350">
        <f t="shared" si="46"/>
        <v>-8.3333333333333329E-2</v>
      </c>
      <c r="AF89" s="350">
        <f t="shared" si="47"/>
        <v>2461.9100991059436</v>
      </c>
      <c r="AG89" s="350"/>
      <c r="AH89" s="350"/>
      <c r="AI89" s="350"/>
    </row>
    <row r="90" spans="2:35">
      <c r="B90" s="818" t="s">
        <v>1146</v>
      </c>
      <c r="C90" s="289">
        <v>2002</v>
      </c>
      <c r="D90" s="289">
        <f t="shared" si="21"/>
        <v>102</v>
      </c>
      <c r="E90" s="289">
        <v>1</v>
      </c>
      <c r="F90" s="351">
        <v>0</v>
      </c>
      <c r="G90" s="344" t="s">
        <v>169</v>
      </c>
      <c r="H90" s="289">
        <v>10</v>
      </c>
      <c r="I90" s="289">
        <f t="shared" si="48"/>
        <v>112</v>
      </c>
      <c r="L90" s="819">
        <v>11130</v>
      </c>
      <c r="M90" s="350">
        <v>0</v>
      </c>
      <c r="N90" s="350">
        <f t="shared" si="34"/>
        <v>11130</v>
      </c>
      <c r="O90" s="350">
        <f t="shared" si="35"/>
        <v>92.75</v>
      </c>
      <c r="P90" s="350">
        <f t="shared" si="36"/>
        <v>0</v>
      </c>
      <c r="Q90" s="350">
        <f t="shared" si="37"/>
        <v>0</v>
      </c>
      <c r="R90" s="350">
        <f t="shared" si="38"/>
        <v>0</v>
      </c>
      <c r="S90" s="352">
        <f>+'WP-11 - Non-Regulated'!$K$40</f>
        <v>0.5539209822239638</v>
      </c>
      <c r="T90" s="350">
        <f t="shared" si="39"/>
        <v>0</v>
      </c>
      <c r="U90" s="350">
        <f t="shared" si="40"/>
        <v>11130</v>
      </c>
      <c r="V90" s="350">
        <f t="shared" si="41"/>
        <v>6165.1405321527172</v>
      </c>
      <c r="W90" s="352">
        <v>1</v>
      </c>
      <c r="X90" s="350">
        <f t="shared" si="42"/>
        <v>6165.1405321527172</v>
      </c>
      <c r="Y90" s="350">
        <f t="shared" si="43"/>
        <v>6165.1405321527172</v>
      </c>
      <c r="Z90" s="350">
        <f t="shared" si="51"/>
        <v>0</v>
      </c>
      <c r="AA90" s="350">
        <f t="shared" si="44"/>
        <v>102</v>
      </c>
      <c r="AB90" s="350">
        <f t="shared" si="49"/>
        <v>124</v>
      </c>
      <c r="AC90" s="350">
        <f t="shared" si="45"/>
        <v>112</v>
      </c>
      <c r="AD90" s="350">
        <f t="shared" si="50"/>
        <v>123</v>
      </c>
      <c r="AE90" s="350">
        <f t="shared" si="46"/>
        <v>-8.3333333333333329E-2</v>
      </c>
      <c r="AF90" s="350">
        <f t="shared" si="47"/>
        <v>4964.8594678472828</v>
      </c>
      <c r="AG90" s="350"/>
      <c r="AH90" s="350"/>
      <c r="AI90" s="350"/>
    </row>
    <row r="91" spans="2:35">
      <c r="B91" s="818" t="s">
        <v>1147</v>
      </c>
      <c r="C91" s="289">
        <v>2002</v>
      </c>
      <c r="D91" s="289">
        <f t="shared" si="21"/>
        <v>102</v>
      </c>
      <c r="E91" s="289">
        <v>1</v>
      </c>
      <c r="F91" s="351">
        <v>0</v>
      </c>
      <c r="G91" s="344" t="s">
        <v>169</v>
      </c>
      <c r="H91" s="289">
        <v>10</v>
      </c>
      <c r="I91" s="289">
        <f t="shared" si="48"/>
        <v>112</v>
      </c>
      <c r="L91" s="819">
        <v>81413</v>
      </c>
      <c r="M91" s="350">
        <v>0</v>
      </c>
      <c r="N91" s="350">
        <f t="shared" si="34"/>
        <v>81413</v>
      </c>
      <c r="O91" s="350">
        <f t="shared" si="35"/>
        <v>678.44166666666672</v>
      </c>
      <c r="P91" s="350">
        <f t="shared" si="36"/>
        <v>0</v>
      </c>
      <c r="Q91" s="350">
        <f t="shared" si="37"/>
        <v>0</v>
      </c>
      <c r="R91" s="350">
        <f t="shared" si="38"/>
        <v>0</v>
      </c>
      <c r="S91" s="352">
        <f>+'WP-11 - Non-Regulated'!$K$40</f>
        <v>0.5539209822239638</v>
      </c>
      <c r="T91" s="350">
        <f t="shared" si="39"/>
        <v>0</v>
      </c>
      <c r="U91" s="350">
        <f t="shared" si="40"/>
        <v>81413</v>
      </c>
      <c r="V91" s="350">
        <f t="shared" si="41"/>
        <v>45096.368925799565</v>
      </c>
      <c r="W91" s="352">
        <v>1</v>
      </c>
      <c r="X91" s="350">
        <f t="shared" si="42"/>
        <v>45096.368925799565</v>
      </c>
      <c r="Y91" s="350">
        <f t="shared" si="43"/>
        <v>45096.368925799565</v>
      </c>
      <c r="Z91" s="350">
        <f t="shared" si="51"/>
        <v>0</v>
      </c>
      <c r="AA91" s="350">
        <f t="shared" si="44"/>
        <v>102</v>
      </c>
      <c r="AB91" s="350">
        <f t="shared" si="49"/>
        <v>124</v>
      </c>
      <c r="AC91" s="350">
        <f t="shared" si="45"/>
        <v>112</v>
      </c>
      <c r="AD91" s="350">
        <f t="shared" si="50"/>
        <v>123</v>
      </c>
      <c r="AE91" s="350">
        <f t="shared" si="46"/>
        <v>-8.3333333333333329E-2</v>
      </c>
      <c r="AF91" s="350">
        <f t="shared" si="47"/>
        <v>36316.631074200435</v>
      </c>
      <c r="AG91" s="350"/>
      <c r="AH91" s="350"/>
      <c r="AI91" s="350"/>
    </row>
    <row r="92" spans="2:35">
      <c r="B92" s="818" t="s">
        <v>1148</v>
      </c>
      <c r="C92" s="289">
        <v>2002</v>
      </c>
      <c r="D92" s="289">
        <f t="shared" si="21"/>
        <v>102</v>
      </c>
      <c r="E92" s="289">
        <v>1</v>
      </c>
      <c r="F92" s="351">
        <v>0</v>
      </c>
      <c r="G92" s="344" t="s">
        <v>169</v>
      </c>
      <c r="H92" s="289">
        <v>10</v>
      </c>
      <c r="I92" s="289">
        <f t="shared" si="48"/>
        <v>112</v>
      </c>
      <c r="L92" s="819">
        <v>6572</v>
      </c>
      <c r="M92" s="350">
        <v>0</v>
      </c>
      <c r="N92" s="350">
        <f t="shared" si="34"/>
        <v>6572</v>
      </c>
      <c r="O92" s="350">
        <f t="shared" si="35"/>
        <v>54.766666666666673</v>
      </c>
      <c r="P92" s="350">
        <f t="shared" si="36"/>
        <v>0</v>
      </c>
      <c r="Q92" s="350">
        <f t="shared" si="37"/>
        <v>0</v>
      </c>
      <c r="R92" s="350">
        <f t="shared" si="38"/>
        <v>0</v>
      </c>
      <c r="S92" s="352">
        <f>+'WP-11 - Non-Regulated'!$K$40</f>
        <v>0.5539209822239638</v>
      </c>
      <c r="T92" s="350">
        <f t="shared" si="39"/>
        <v>0</v>
      </c>
      <c r="U92" s="350">
        <f t="shared" si="40"/>
        <v>6572</v>
      </c>
      <c r="V92" s="350">
        <f t="shared" si="41"/>
        <v>3640.36869517589</v>
      </c>
      <c r="W92" s="352">
        <v>1</v>
      </c>
      <c r="X92" s="350">
        <f t="shared" si="42"/>
        <v>3640.36869517589</v>
      </c>
      <c r="Y92" s="350">
        <f t="shared" si="43"/>
        <v>3640.36869517589</v>
      </c>
      <c r="Z92" s="350">
        <f t="shared" si="51"/>
        <v>0</v>
      </c>
      <c r="AA92" s="350">
        <f t="shared" si="44"/>
        <v>102</v>
      </c>
      <c r="AB92" s="350">
        <f t="shared" si="49"/>
        <v>124</v>
      </c>
      <c r="AC92" s="350">
        <f t="shared" si="45"/>
        <v>112</v>
      </c>
      <c r="AD92" s="350">
        <f t="shared" si="50"/>
        <v>123</v>
      </c>
      <c r="AE92" s="350">
        <f t="shared" si="46"/>
        <v>-8.3333333333333329E-2</v>
      </c>
      <c r="AF92" s="350">
        <f t="shared" si="47"/>
        <v>2931.63130482411</v>
      </c>
      <c r="AG92" s="350"/>
      <c r="AH92" s="350"/>
      <c r="AI92" s="350"/>
    </row>
    <row r="93" spans="2:35">
      <c r="B93" s="818" t="s">
        <v>1149</v>
      </c>
      <c r="C93" s="289">
        <v>2002</v>
      </c>
      <c r="D93" s="289">
        <f t="shared" si="21"/>
        <v>102</v>
      </c>
      <c r="E93" s="289">
        <v>1</v>
      </c>
      <c r="F93" s="351">
        <v>0</v>
      </c>
      <c r="G93" s="344" t="s">
        <v>169</v>
      </c>
      <c r="H93" s="289">
        <v>10</v>
      </c>
      <c r="I93" s="289">
        <f t="shared" si="48"/>
        <v>112</v>
      </c>
      <c r="L93" s="819">
        <v>4882</v>
      </c>
      <c r="M93" s="350">
        <v>0</v>
      </c>
      <c r="N93" s="350">
        <f t="shared" si="34"/>
        <v>4882</v>
      </c>
      <c r="O93" s="350">
        <f t="shared" si="35"/>
        <v>40.68333333333333</v>
      </c>
      <c r="P93" s="350">
        <f t="shared" si="36"/>
        <v>0</v>
      </c>
      <c r="Q93" s="350">
        <f t="shared" si="37"/>
        <v>0</v>
      </c>
      <c r="R93" s="350">
        <f t="shared" si="38"/>
        <v>0</v>
      </c>
      <c r="S93" s="352">
        <f>+'WP-11 - Non-Regulated'!$K$40</f>
        <v>0.5539209822239638</v>
      </c>
      <c r="T93" s="350">
        <f t="shared" si="39"/>
        <v>0</v>
      </c>
      <c r="U93" s="350">
        <f t="shared" si="40"/>
        <v>4882</v>
      </c>
      <c r="V93" s="350">
        <f t="shared" si="41"/>
        <v>2704.2422352173912</v>
      </c>
      <c r="W93" s="352">
        <v>1</v>
      </c>
      <c r="X93" s="350">
        <f t="shared" si="42"/>
        <v>2704.2422352173912</v>
      </c>
      <c r="Y93" s="350">
        <f t="shared" si="43"/>
        <v>2704.2422352173912</v>
      </c>
      <c r="Z93" s="350">
        <f t="shared" si="51"/>
        <v>0</v>
      </c>
      <c r="AA93" s="350">
        <f t="shared" si="44"/>
        <v>102</v>
      </c>
      <c r="AB93" s="350">
        <f t="shared" si="49"/>
        <v>124</v>
      </c>
      <c r="AC93" s="350">
        <f t="shared" si="45"/>
        <v>112</v>
      </c>
      <c r="AD93" s="350">
        <f t="shared" si="50"/>
        <v>123</v>
      </c>
      <c r="AE93" s="350">
        <f t="shared" si="46"/>
        <v>-8.3333333333333329E-2</v>
      </c>
      <c r="AF93" s="350">
        <f t="shared" si="47"/>
        <v>2177.7577647826088</v>
      </c>
      <c r="AG93" s="350"/>
      <c r="AH93" s="350"/>
      <c r="AI93" s="350"/>
    </row>
    <row r="94" spans="2:35">
      <c r="B94" s="818" t="s">
        <v>1150</v>
      </c>
      <c r="C94" s="289">
        <v>2003</v>
      </c>
      <c r="D94" s="289">
        <f t="shared" si="21"/>
        <v>103</v>
      </c>
      <c r="E94" s="289">
        <v>1</v>
      </c>
      <c r="F94" s="351">
        <v>0</v>
      </c>
      <c r="G94" s="344" t="s">
        <v>169</v>
      </c>
      <c r="H94" s="289">
        <v>10</v>
      </c>
      <c r="I94" s="289">
        <f t="shared" si="48"/>
        <v>113</v>
      </c>
      <c r="L94" s="819">
        <v>21738</v>
      </c>
      <c r="M94" s="350">
        <v>0</v>
      </c>
      <c r="N94" s="350">
        <f t="shared" si="34"/>
        <v>21738</v>
      </c>
      <c r="O94" s="350">
        <f t="shared" si="35"/>
        <v>181.15</v>
      </c>
      <c r="P94" s="350">
        <f t="shared" si="36"/>
        <v>0</v>
      </c>
      <c r="Q94" s="350">
        <f t="shared" si="37"/>
        <v>0</v>
      </c>
      <c r="R94" s="350">
        <f t="shared" si="38"/>
        <v>0</v>
      </c>
      <c r="S94" s="352">
        <f>+'WP-11 - Non-Regulated'!$K$40</f>
        <v>0.5539209822239638</v>
      </c>
      <c r="T94" s="350">
        <f t="shared" si="39"/>
        <v>0</v>
      </c>
      <c r="U94" s="350">
        <f t="shared" si="40"/>
        <v>21738</v>
      </c>
      <c r="V94" s="350">
        <f t="shared" si="41"/>
        <v>12041.134311584525</v>
      </c>
      <c r="W94" s="352">
        <v>1</v>
      </c>
      <c r="X94" s="350">
        <f t="shared" si="42"/>
        <v>12041.134311584525</v>
      </c>
      <c r="Y94" s="350">
        <f t="shared" si="43"/>
        <v>12041.134311584525</v>
      </c>
      <c r="Z94" s="350">
        <f t="shared" si="51"/>
        <v>0</v>
      </c>
      <c r="AA94" s="350">
        <f t="shared" si="44"/>
        <v>103</v>
      </c>
      <c r="AB94" s="350">
        <f t="shared" si="49"/>
        <v>124</v>
      </c>
      <c r="AC94" s="350">
        <f t="shared" si="45"/>
        <v>113</v>
      </c>
      <c r="AD94" s="350">
        <f t="shared" si="50"/>
        <v>123</v>
      </c>
      <c r="AE94" s="350">
        <f t="shared" si="46"/>
        <v>-8.3333333333333329E-2</v>
      </c>
      <c r="AF94" s="350">
        <f t="shared" si="47"/>
        <v>9696.8656884154752</v>
      </c>
      <c r="AG94" s="350"/>
      <c r="AH94" s="350"/>
      <c r="AI94" s="350"/>
    </row>
    <row r="95" spans="2:35">
      <c r="B95" s="818" t="s">
        <v>1151</v>
      </c>
      <c r="C95" s="289">
        <v>2003</v>
      </c>
      <c r="D95" s="289">
        <f t="shared" si="21"/>
        <v>103</v>
      </c>
      <c r="E95" s="289">
        <v>1</v>
      </c>
      <c r="F95" s="351">
        <v>0</v>
      </c>
      <c r="G95" s="344" t="s">
        <v>169</v>
      </c>
      <c r="H95" s="289">
        <v>10</v>
      </c>
      <c r="I95" s="289">
        <f t="shared" si="48"/>
        <v>113</v>
      </c>
      <c r="L95" s="819">
        <v>26162</v>
      </c>
      <c r="M95" s="350">
        <v>0</v>
      </c>
      <c r="N95" s="350">
        <f t="shared" si="34"/>
        <v>26162</v>
      </c>
      <c r="O95" s="350">
        <f t="shared" si="35"/>
        <v>218.01666666666665</v>
      </c>
      <c r="P95" s="350">
        <f t="shared" si="36"/>
        <v>0</v>
      </c>
      <c r="Q95" s="350">
        <f t="shared" si="37"/>
        <v>0</v>
      </c>
      <c r="R95" s="350">
        <f t="shared" si="38"/>
        <v>0</v>
      </c>
      <c r="S95" s="352">
        <f>+'WP-11 - Non-Regulated'!$K$40</f>
        <v>0.5539209822239638</v>
      </c>
      <c r="T95" s="350">
        <f t="shared" si="39"/>
        <v>0</v>
      </c>
      <c r="U95" s="350">
        <f t="shared" si="40"/>
        <v>26162</v>
      </c>
      <c r="V95" s="350">
        <f t="shared" si="41"/>
        <v>14491.680736943341</v>
      </c>
      <c r="W95" s="352">
        <v>1</v>
      </c>
      <c r="X95" s="350">
        <f t="shared" si="42"/>
        <v>14491.680736943341</v>
      </c>
      <c r="Y95" s="350">
        <f t="shared" si="43"/>
        <v>14491.680736943341</v>
      </c>
      <c r="Z95" s="350">
        <f t="shared" si="51"/>
        <v>0</v>
      </c>
      <c r="AA95" s="350">
        <f t="shared" si="44"/>
        <v>103</v>
      </c>
      <c r="AB95" s="350">
        <f t="shared" si="49"/>
        <v>124</v>
      </c>
      <c r="AC95" s="350">
        <f t="shared" si="45"/>
        <v>113</v>
      </c>
      <c r="AD95" s="350">
        <f t="shared" si="50"/>
        <v>123</v>
      </c>
      <c r="AE95" s="350">
        <f t="shared" si="46"/>
        <v>-8.3333333333333329E-2</v>
      </c>
      <c r="AF95" s="350">
        <f t="shared" si="47"/>
        <v>11670.319263056659</v>
      </c>
      <c r="AG95" s="350"/>
      <c r="AH95" s="350"/>
      <c r="AI95" s="350"/>
    </row>
    <row r="96" spans="2:35">
      <c r="B96" s="818" t="s">
        <v>1152</v>
      </c>
      <c r="C96" s="289">
        <v>2003</v>
      </c>
      <c r="D96" s="289">
        <f t="shared" ref="D96:D122" si="52">+C96-1900</f>
        <v>103</v>
      </c>
      <c r="E96" s="289">
        <v>1</v>
      </c>
      <c r="F96" s="351">
        <v>0</v>
      </c>
      <c r="G96" s="344" t="s">
        <v>169</v>
      </c>
      <c r="H96" s="289">
        <v>10</v>
      </c>
      <c r="I96" s="289">
        <f t="shared" si="48"/>
        <v>113</v>
      </c>
      <c r="L96" s="819">
        <v>704</v>
      </c>
      <c r="M96" s="350">
        <v>0</v>
      </c>
      <c r="N96" s="350">
        <f t="shared" si="34"/>
        <v>704</v>
      </c>
      <c r="O96" s="350">
        <f t="shared" si="35"/>
        <v>5.8666666666666671</v>
      </c>
      <c r="P96" s="350">
        <f t="shared" si="36"/>
        <v>0</v>
      </c>
      <c r="Q96" s="350">
        <f t="shared" si="37"/>
        <v>0</v>
      </c>
      <c r="R96" s="350">
        <f t="shared" si="38"/>
        <v>0</v>
      </c>
      <c r="S96" s="352">
        <f>+'WP-11 - Non-Regulated'!$K$40</f>
        <v>0.5539209822239638</v>
      </c>
      <c r="T96" s="350">
        <f t="shared" si="39"/>
        <v>0</v>
      </c>
      <c r="U96" s="350">
        <f t="shared" si="40"/>
        <v>704</v>
      </c>
      <c r="V96" s="350">
        <f t="shared" si="41"/>
        <v>389.96037148567052</v>
      </c>
      <c r="W96" s="352">
        <v>1</v>
      </c>
      <c r="X96" s="350">
        <f t="shared" si="42"/>
        <v>389.96037148567052</v>
      </c>
      <c r="Y96" s="350">
        <f t="shared" si="43"/>
        <v>389.96037148567052</v>
      </c>
      <c r="Z96" s="350">
        <f t="shared" si="51"/>
        <v>0</v>
      </c>
      <c r="AA96" s="350">
        <f t="shared" si="44"/>
        <v>103</v>
      </c>
      <c r="AB96" s="350">
        <f t="shared" si="49"/>
        <v>124</v>
      </c>
      <c r="AC96" s="350">
        <f t="shared" si="45"/>
        <v>113</v>
      </c>
      <c r="AD96" s="350">
        <f t="shared" si="50"/>
        <v>123</v>
      </c>
      <c r="AE96" s="350">
        <f t="shared" si="46"/>
        <v>-8.3333333333333329E-2</v>
      </c>
      <c r="AF96" s="350">
        <f t="shared" si="47"/>
        <v>314.03962851432948</v>
      </c>
      <c r="AG96" s="350"/>
      <c r="AH96" s="350"/>
      <c r="AI96" s="350"/>
    </row>
    <row r="97" spans="2:35">
      <c r="B97" s="818" t="s">
        <v>1141</v>
      </c>
      <c r="C97" s="289">
        <v>2003</v>
      </c>
      <c r="D97" s="289">
        <f t="shared" si="52"/>
        <v>103</v>
      </c>
      <c r="E97" s="289">
        <v>1</v>
      </c>
      <c r="F97" s="351">
        <v>0</v>
      </c>
      <c r="G97" s="344" t="s">
        <v>169</v>
      </c>
      <c r="H97" s="289">
        <v>10</v>
      </c>
      <c r="I97" s="289">
        <f t="shared" si="48"/>
        <v>113</v>
      </c>
      <c r="L97" s="819">
        <v>4206</v>
      </c>
      <c r="M97" s="350">
        <v>0</v>
      </c>
      <c r="N97" s="350">
        <f t="shared" si="34"/>
        <v>4206</v>
      </c>
      <c r="O97" s="350">
        <f t="shared" si="35"/>
        <v>35.050000000000004</v>
      </c>
      <c r="P97" s="350">
        <f t="shared" si="36"/>
        <v>0</v>
      </c>
      <c r="Q97" s="350">
        <f t="shared" si="37"/>
        <v>0</v>
      </c>
      <c r="R97" s="350">
        <f t="shared" si="38"/>
        <v>0</v>
      </c>
      <c r="S97" s="352">
        <f>+'WP-11 - Non-Regulated'!$K$40</f>
        <v>0.5539209822239638</v>
      </c>
      <c r="T97" s="350">
        <f t="shared" si="39"/>
        <v>0</v>
      </c>
      <c r="U97" s="350">
        <f t="shared" si="40"/>
        <v>4206</v>
      </c>
      <c r="V97" s="350">
        <f t="shared" si="41"/>
        <v>2329.7916512339916</v>
      </c>
      <c r="W97" s="352">
        <v>1</v>
      </c>
      <c r="X97" s="350">
        <f t="shared" si="42"/>
        <v>2329.7916512339916</v>
      </c>
      <c r="Y97" s="350">
        <f t="shared" si="43"/>
        <v>2329.7916512339916</v>
      </c>
      <c r="Z97" s="350">
        <f t="shared" si="51"/>
        <v>0</v>
      </c>
      <c r="AA97" s="350">
        <f t="shared" si="44"/>
        <v>103</v>
      </c>
      <c r="AB97" s="350">
        <f t="shared" si="49"/>
        <v>124</v>
      </c>
      <c r="AC97" s="350">
        <f t="shared" si="45"/>
        <v>113</v>
      </c>
      <c r="AD97" s="350">
        <f t="shared" si="50"/>
        <v>123</v>
      </c>
      <c r="AE97" s="350">
        <f t="shared" si="46"/>
        <v>-8.3333333333333329E-2</v>
      </c>
      <c r="AF97" s="350">
        <f t="shared" si="47"/>
        <v>1876.2083487660084</v>
      </c>
      <c r="AG97" s="350"/>
      <c r="AH97" s="350"/>
      <c r="AI97" s="350"/>
    </row>
    <row r="98" spans="2:35">
      <c r="B98" s="818" t="s">
        <v>1153</v>
      </c>
      <c r="C98" s="289">
        <v>2003</v>
      </c>
      <c r="D98" s="289">
        <f t="shared" si="52"/>
        <v>103</v>
      </c>
      <c r="E98" s="289">
        <v>1</v>
      </c>
      <c r="F98" s="351">
        <v>0</v>
      </c>
      <c r="G98" s="344" t="s">
        <v>169</v>
      </c>
      <c r="H98" s="289">
        <v>10</v>
      </c>
      <c r="I98" s="289">
        <f t="shared" si="48"/>
        <v>113</v>
      </c>
      <c r="L98" s="819">
        <v>11684</v>
      </c>
      <c r="M98" s="350">
        <v>0</v>
      </c>
      <c r="N98" s="350">
        <f t="shared" si="34"/>
        <v>11684</v>
      </c>
      <c r="O98" s="350">
        <f t="shared" si="35"/>
        <v>97.366666666666674</v>
      </c>
      <c r="P98" s="350">
        <f t="shared" si="36"/>
        <v>0</v>
      </c>
      <c r="Q98" s="350">
        <f t="shared" si="37"/>
        <v>0</v>
      </c>
      <c r="R98" s="350">
        <f t="shared" si="38"/>
        <v>0</v>
      </c>
      <c r="S98" s="352">
        <f>+'WP-11 - Non-Regulated'!$K$40</f>
        <v>0.5539209822239638</v>
      </c>
      <c r="T98" s="350">
        <f t="shared" si="39"/>
        <v>0</v>
      </c>
      <c r="U98" s="350">
        <f t="shared" si="40"/>
        <v>11684</v>
      </c>
      <c r="V98" s="350">
        <f t="shared" si="41"/>
        <v>6472.0127563047927</v>
      </c>
      <c r="W98" s="352">
        <v>1</v>
      </c>
      <c r="X98" s="350">
        <f t="shared" si="42"/>
        <v>6472.0127563047927</v>
      </c>
      <c r="Y98" s="350">
        <f t="shared" si="43"/>
        <v>6472.0127563047927</v>
      </c>
      <c r="Z98" s="350">
        <f t="shared" si="51"/>
        <v>0</v>
      </c>
      <c r="AA98" s="350">
        <f t="shared" si="44"/>
        <v>103</v>
      </c>
      <c r="AB98" s="350">
        <f t="shared" si="49"/>
        <v>124</v>
      </c>
      <c r="AC98" s="350">
        <f t="shared" si="45"/>
        <v>113</v>
      </c>
      <c r="AD98" s="350">
        <f t="shared" si="50"/>
        <v>123</v>
      </c>
      <c r="AE98" s="350">
        <f t="shared" si="46"/>
        <v>-8.3333333333333329E-2</v>
      </c>
      <c r="AF98" s="350">
        <f t="shared" si="47"/>
        <v>5211.9872436952073</v>
      </c>
      <c r="AG98" s="350"/>
      <c r="AH98" s="350"/>
      <c r="AI98" s="350"/>
    </row>
    <row r="99" spans="2:35">
      <c r="B99" s="818" t="s">
        <v>1154</v>
      </c>
      <c r="C99" s="289">
        <v>2003</v>
      </c>
      <c r="D99" s="289">
        <f t="shared" si="52"/>
        <v>103</v>
      </c>
      <c r="E99" s="289">
        <v>1</v>
      </c>
      <c r="F99" s="351">
        <v>0</v>
      </c>
      <c r="G99" s="344" t="s">
        <v>169</v>
      </c>
      <c r="H99" s="289">
        <v>10</v>
      </c>
      <c r="I99" s="289">
        <f t="shared" si="48"/>
        <v>113</v>
      </c>
      <c r="L99" s="819">
        <v>20936</v>
      </c>
      <c r="M99" s="350">
        <v>0</v>
      </c>
      <c r="N99" s="350">
        <f t="shared" si="34"/>
        <v>20936</v>
      </c>
      <c r="O99" s="350">
        <f t="shared" si="35"/>
        <v>174.46666666666667</v>
      </c>
      <c r="P99" s="350">
        <f t="shared" si="36"/>
        <v>0</v>
      </c>
      <c r="Q99" s="350">
        <f t="shared" si="37"/>
        <v>0</v>
      </c>
      <c r="R99" s="350">
        <f t="shared" si="38"/>
        <v>0</v>
      </c>
      <c r="S99" s="352">
        <f>+'WP-11 - Non-Regulated'!$K$40</f>
        <v>0.5539209822239638</v>
      </c>
      <c r="T99" s="350">
        <f t="shared" si="39"/>
        <v>0</v>
      </c>
      <c r="U99" s="350">
        <f t="shared" si="40"/>
        <v>20936</v>
      </c>
      <c r="V99" s="350">
        <f t="shared" si="41"/>
        <v>11596.889683840905</v>
      </c>
      <c r="W99" s="352">
        <v>1</v>
      </c>
      <c r="X99" s="350">
        <f t="shared" si="42"/>
        <v>11596.889683840905</v>
      </c>
      <c r="Y99" s="350">
        <f t="shared" si="43"/>
        <v>11596.889683840905</v>
      </c>
      <c r="Z99" s="350">
        <f t="shared" si="51"/>
        <v>0</v>
      </c>
      <c r="AA99" s="350">
        <f t="shared" si="44"/>
        <v>103</v>
      </c>
      <c r="AB99" s="350">
        <f t="shared" si="49"/>
        <v>124</v>
      </c>
      <c r="AC99" s="350">
        <f t="shared" si="45"/>
        <v>113</v>
      </c>
      <c r="AD99" s="350">
        <f t="shared" si="50"/>
        <v>123</v>
      </c>
      <c r="AE99" s="350">
        <f t="shared" si="46"/>
        <v>-8.3333333333333329E-2</v>
      </c>
      <c r="AF99" s="350">
        <f t="shared" si="47"/>
        <v>9339.1103161590945</v>
      </c>
      <c r="AG99" s="350"/>
      <c r="AH99" s="350"/>
      <c r="AI99" s="350"/>
    </row>
    <row r="100" spans="2:35">
      <c r="B100" s="818" t="s">
        <v>1155</v>
      </c>
      <c r="C100" s="289">
        <v>2004</v>
      </c>
      <c r="D100" s="289">
        <f t="shared" si="52"/>
        <v>104</v>
      </c>
      <c r="E100" s="289">
        <v>1</v>
      </c>
      <c r="F100" s="351">
        <v>0</v>
      </c>
      <c r="G100" s="344" t="s">
        <v>169</v>
      </c>
      <c r="H100" s="289">
        <v>10</v>
      </c>
      <c r="I100" s="289">
        <f t="shared" si="48"/>
        <v>114</v>
      </c>
      <c r="L100" s="819">
        <v>18921</v>
      </c>
      <c r="M100" s="350">
        <v>0</v>
      </c>
      <c r="N100" s="350">
        <f t="shared" si="34"/>
        <v>18921</v>
      </c>
      <c r="O100" s="350">
        <f t="shared" si="35"/>
        <v>157.67499999999998</v>
      </c>
      <c r="P100" s="350">
        <f t="shared" si="36"/>
        <v>0</v>
      </c>
      <c r="Q100" s="350">
        <f t="shared" si="37"/>
        <v>0</v>
      </c>
      <c r="R100" s="350">
        <f t="shared" si="38"/>
        <v>0</v>
      </c>
      <c r="S100" s="352">
        <f>+'WP-11 - Non-Regulated'!$K$40</f>
        <v>0.5539209822239638</v>
      </c>
      <c r="T100" s="350">
        <f t="shared" si="39"/>
        <v>0</v>
      </c>
      <c r="U100" s="350">
        <f t="shared" si="40"/>
        <v>18921</v>
      </c>
      <c r="V100" s="350">
        <f t="shared" si="41"/>
        <v>10480.738904659618</v>
      </c>
      <c r="W100" s="352">
        <v>1</v>
      </c>
      <c r="X100" s="350">
        <f t="shared" si="42"/>
        <v>10480.738904659618</v>
      </c>
      <c r="Y100" s="350">
        <f t="shared" si="43"/>
        <v>10480.738904659618</v>
      </c>
      <c r="Z100" s="350">
        <f t="shared" si="51"/>
        <v>0</v>
      </c>
      <c r="AA100" s="350">
        <f t="shared" si="44"/>
        <v>104</v>
      </c>
      <c r="AB100" s="350">
        <f t="shared" si="49"/>
        <v>124</v>
      </c>
      <c r="AC100" s="350">
        <f t="shared" si="45"/>
        <v>114</v>
      </c>
      <c r="AD100" s="350">
        <f t="shared" si="50"/>
        <v>123</v>
      </c>
      <c r="AE100" s="350">
        <f t="shared" si="46"/>
        <v>-8.3333333333333329E-2</v>
      </c>
      <c r="AF100" s="350">
        <f t="shared" si="47"/>
        <v>8440.2610953403819</v>
      </c>
      <c r="AG100" s="350"/>
      <c r="AH100" s="350"/>
      <c r="AI100" s="350"/>
    </row>
    <row r="101" spans="2:35">
      <c r="B101" s="818" t="s">
        <v>1156</v>
      </c>
      <c r="C101" s="289">
        <v>2004</v>
      </c>
      <c r="D101" s="289">
        <f t="shared" si="52"/>
        <v>104</v>
      </c>
      <c r="E101" s="289">
        <v>1</v>
      </c>
      <c r="F101" s="351">
        <v>0</v>
      </c>
      <c r="G101" s="344" t="s">
        <v>169</v>
      </c>
      <c r="H101" s="289">
        <v>10</v>
      </c>
      <c r="I101" s="289">
        <f t="shared" si="48"/>
        <v>114</v>
      </c>
      <c r="L101" s="819">
        <v>10348</v>
      </c>
      <c r="M101" s="350">
        <v>0</v>
      </c>
      <c r="N101" s="350">
        <f t="shared" ref="N101:N121" si="53">L101-(+L101*F101)</f>
        <v>10348</v>
      </c>
      <c r="O101" s="350">
        <f t="shared" ref="O101:O121" si="54">N101/H101/12</f>
        <v>86.233333333333334</v>
      </c>
      <c r="P101" s="350">
        <f t="shared" ref="P101:P121" si="55">IF(Q101&gt;0,0,IF(OR(AA101&gt;AB101,AC101&lt;AD101),0,IF(AND(AC101&gt;=AD101,AC101&lt;=AB101),O101*((AC101-AD101)*12),IF(AND(AD101&lt;=AA101,AB101&gt;=AA101),((AB101-AA101)*12)*O101,IF(AC101&gt;AB101,12*O101,0)))))</f>
        <v>0</v>
      </c>
      <c r="Q101" s="350">
        <f t="shared" ref="Q101:Q121" si="56">IF(M101=0,0,IF(AND(AE101&gt;=AD101,AE101&lt;=AC101),((AE101-AD101)*12)*O101,0))</f>
        <v>0</v>
      </c>
      <c r="R101" s="350">
        <f t="shared" ref="R101:R121" si="57">IF(Q101&gt;0,Q101,P101)</f>
        <v>0</v>
      </c>
      <c r="S101" s="352">
        <f>+'WP-11 - Non-Regulated'!$K$40</f>
        <v>0.5539209822239638</v>
      </c>
      <c r="T101" s="350">
        <f t="shared" ref="T101:T121" si="58">S101*SUM(P101:Q101)</f>
        <v>0</v>
      </c>
      <c r="U101" s="350">
        <f t="shared" ref="U101:U121" si="59">IF(AA101&gt;AB101,0,IF(AC101&lt;AD101,L101,IF(AND(AC101&gt;=AD101,AC101&lt;=AB101),(L101-R101),IF(AND(AD101&lt;=AA101,AB101&gt;=AA101),0,IF(AC101&gt;AB101,((AD101-AA101)*12)*O101,0)))))</f>
        <v>10348</v>
      </c>
      <c r="V101" s="350">
        <f t="shared" ref="V101:V121" si="60">U101*S101</f>
        <v>5731.9743240535772</v>
      </c>
      <c r="W101" s="352">
        <v>1</v>
      </c>
      <c r="X101" s="350">
        <f t="shared" ref="X101:X121" si="61">V101*W101</f>
        <v>5731.9743240535772</v>
      </c>
      <c r="Y101" s="350">
        <f t="shared" ref="Y101:Y121" si="62">IF(M101&gt;0,0,X101+T101*W101)*W101</f>
        <v>5731.9743240535772</v>
      </c>
      <c r="Z101" s="350">
        <f t="shared" si="51"/>
        <v>0</v>
      </c>
      <c r="AA101" s="350">
        <f t="shared" ref="AA101:AA121" si="63">$D101+(($E101-1)/12)</f>
        <v>104</v>
      </c>
      <c r="AB101" s="350">
        <f t="shared" si="49"/>
        <v>124</v>
      </c>
      <c r="AC101" s="350">
        <f t="shared" ref="AC101:AC121" si="64">$I101+(($E101-1)/12)</f>
        <v>114</v>
      </c>
      <c r="AD101" s="350">
        <f t="shared" si="50"/>
        <v>123</v>
      </c>
      <c r="AE101" s="350">
        <f t="shared" ref="AE101:AE121" si="65">$J101+(($K101-1)/12)</f>
        <v>-8.3333333333333329E-2</v>
      </c>
      <c r="AF101" s="350">
        <f t="shared" ref="AF101:AF121" si="66">L101-((X101+Y101)/2)-Z101</f>
        <v>4616.0256759464228</v>
      </c>
      <c r="AG101" s="350"/>
      <c r="AH101" s="350"/>
      <c r="AI101" s="350"/>
    </row>
    <row r="102" spans="2:35">
      <c r="B102" s="818" t="s">
        <v>1157</v>
      </c>
      <c r="C102" s="289">
        <v>2004</v>
      </c>
      <c r="D102" s="289">
        <f t="shared" si="52"/>
        <v>104</v>
      </c>
      <c r="E102" s="289">
        <v>1</v>
      </c>
      <c r="F102" s="351">
        <v>0</v>
      </c>
      <c r="G102" s="344" t="s">
        <v>169</v>
      </c>
      <c r="H102" s="289">
        <v>10</v>
      </c>
      <c r="I102" s="289">
        <f t="shared" ref="I102:I122" si="67">D102+H102</f>
        <v>114</v>
      </c>
      <c r="L102" s="819">
        <v>17070</v>
      </c>
      <c r="M102" s="350">
        <v>0</v>
      </c>
      <c r="N102" s="350">
        <f t="shared" si="53"/>
        <v>17070</v>
      </c>
      <c r="O102" s="350">
        <f t="shared" si="54"/>
        <v>142.25</v>
      </c>
      <c r="P102" s="350">
        <f t="shared" si="55"/>
        <v>0</v>
      </c>
      <c r="Q102" s="350">
        <f t="shared" si="56"/>
        <v>0</v>
      </c>
      <c r="R102" s="350">
        <f t="shared" si="57"/>
        <v>0</v>
      </c>
      <c r="S102" s="352">
        <f>+'WP-11 - Non-Regulated'!$K$40</f>
        <v>0.5539209822239638</v>
      </c>
      <c r="T102" s="350">
        <f t="shared" si="58"/>
        <v>0</v>
      </c>
      <c r="U102" s="350">
        <f t="shared" si="59"/>
        <v>17070</v>
      </c>
      <c r="V102" s="350">
        <f t="shared" si="60"/>
        <v>9455.4311665630612</v>
      </c>
      <c r="W102" s="352">
        <v>1</v>
      </c>
      <c r="X102" s="350">
        <f t="shared" si="61"/>
        <v>9455.4311665630612</v>
      </c>
      <c r="Y102" s="350">
        <f t="shared" si="62"/>
        <v>9455.4311665630612</v>
      </c>
      <c r="Z102" s="350">
        <f t="shared" si="51"/>
        <v>0</v>
      </c>
      <c r="AA102" s="350">
        <f t="shared" si="63"/>
        <v>104</v>
      </c>
      <c r="AB102" s="350">
        <f t="shared" si="49"/>
        <v>124</v>
      </c>
      <c r="AC102" s="350">
        <f t="shared" si="64"/>
        <v>114</v>
      </c>
      <c r="AD102" s="350">
        <f t="shared" si="50"/>
        <v>123</v>
      </c>
      <c r="AE102" s="350">
        <f t="shared" si="65"/>
        <v>-8.3333333333333329E-2</v>
      </c>
      <c r="AF102" s="350">
        <f t="shared" si="66"/>
        <v>7614.5688334369388</v>
      </c>
      <c r="AG102" s="350"/>
      <c r="AH102" s="350"/>
      <c r="AI102" s="350"/>
    </row>
    <row r="103" spans="2:35">
      <c r="B103" s="818" t="s">
        <v>1158</v>
      </c>
      <c r="C103" s="289">
        <v>2004</v>
      </c>
      <c r="D103" s="289">
        <f t="shared" si="52"/>
        <v>104</v>
      </c>
      <c r="E103" s="289">
        <v>1</v>
      </c>
      <c r="F103" s="351">
        <v>0</v>
      </c>
      <c r="G103" s="344" t="s">
        <v>169</v>
      </c>
      <c r="H103" s="289">
        <v>10</v>
      </c>
      <c r="I103" s="289">
        <f t="shared" si="67"/>
        <v>114</v>
      </c>
      <c r="L103" s="819">
        <v>20482</v>
      </c>
      <c r="M103" s="350">
        <v>0</v>
      </c>
      <c r="N103" s="350">
        <f t="shared" si="53"/>
        <v>20482</v>
      </c>
      <c r="O103" s="350">
        <f t="shared" si="54"/>
        <v>170.68333333333331</v>
      </c>
      <c r="P103" s="350">
        <f t="shared" si="55"/>
        <v>0</v>
      </c>
      <c r="Q103" s="350">
        <f t="shared" si="56"/>
        <v>0</v>
      </c>
      <c r="R103" s="350">
        <f t="shared" si="57"/>
        <v>0</v>
      </c>
      <c r="S103" s="352">
        <f>+'WP-11 - Non-Regulated'!$K$40</f>
        <v>0.5539209822239638</v>
      </c>
      <c r="T103" s="350">
        <f t="shared" si="58"/>
        <v>0</v>
      </c>
      <c r="U103" s="350">
        <f t="shared" si="59"/>
        <v>20482</v>
      </c>
      <c r="V103" s="350">
        <f t="shared" si="60"/>
        <v>11345.409557911227</v>
      </c>
      <c r="W103" s="352">
        <v>1</v>
      </c>
      <c r="X103" s="350">
        <f t="shared" si="61"/>
        <v>11345.409557911227</v>
      </c>
      <c r="Y103" s="350">
        <f t="shared" si="62"/>
        <v>11345.409557911227</v>
      </c>
      <c r="Z103" s="350">
        <f t="shared" si="51"/>
        <v>0</v>
      </c>
      <c r="AA103" s="350">
        <f t="shared" si="63"/>
        <v>104</v>
      </c>
      <c r="AB103" s="350">
        <f t="shared" si="49"/>
        <v>124</v>
      </c>
      <c r="AC103" s="350">
        <f t="shared" si="64"/>
        <v>114</v>
      </c>
      <c r="AD103" s="350">
        <f t="shared" si="50"/>
        <v>123</v>
      </c>
      <c r="AE103" s="350">
        <f t="shared" si="65"/>
        <v>-8.3333333333333329E-2</v>
      </c>
      <c r="AF103" s="350">
        <f t="shared" si="66"/>
        <v>9136.5904420887728</v>
      </c>
      <c r="AG103" s="350"/>
      <c r="AH103" s="350"/>
      <c r="AI103" s="350"/>
    </row>
    <row r="104" spans="2:35">
      <c r="B104" s="818" t="s">
        <v>1159</v>
      </c>
      <c r="C104" s="289">
        <v>2004</v>
      </c>
      <c r="D104" s="289">
        <f t="shared" si="52"/>
        <v>104</v>
      </c>
      <c r="E104" s="289">
        <v>1</v>
      </c>
      <c r="F104" s="351">
        <v>0</v>
      </c>
      <c r="G104" s="344" t="s">
        <v>169</v>
      </c>
      <c r="H104" s="289">
        <v>10</v>
      </c>
      <c r="I104" s="289">
        <f t="shared" si="67"/>
        <v>114</v>
      </c>
      <c r="L104" s="819">
        <v>19194</v>
      </c>
      <c r="M104" s="350">
        <v>0</v>
      </c>
      <c r="N104" s="350">
        <f t="shared" si="53"/>
        <v>19194</v>
      </c>
      <c r="O104" s="350">
        <f t="shared" si="54"/>
        <v>159.95000000000002</v>
      </c>
      <c r="P104" s="350">
        <f t="shared" si="55"/>
        <v>0</v>
      </c>
      <c r="Q104" s="350">
        <f t="shared" si="56"/>
        <v>0</v>
      </c>
      <c r="R104" s="350">
        <f t="shared" si="57"/>
        <v>0</v>
      </c>
      <c r="S104" s="352">
        <f>+'WP-11 - Non-Regulated'!$K$40</f>
        <v>0.5539209822239638</v>
      </c>
      <c r="T104" s="350">
        <f t="shared" si="58"/>
        <v>0</v>
      </c>
      <c r="U104" s="350">
        <f t="shared" si="59"/>
        <v>19194</v>
      </c>
      <c r="V104" s="350">
        <f t="shared" si="60"/>
        <v>10631.95933280676</v>
      </c>
      <c r="W104" s="352">
        <v>1</v>
      </c>
      <c r="X104" s="350">
        <f t="shared" si="61"/>
        <v>10631.95933280676</v>
      </c>
      <c r="Y104" s="350">
        <f t="shared" si="62"/>
        <v>10631.95933280676</v>
      </c>
      <c r="Z104" s="350">
        <f t="shared" si="51"/>
        <v>0</v>
      </c>
      <c r="AA104" s="350">
        <f t="shared" si="63"/>
        <v>104</v>
      </c>
      <c r="AB104" s="350">
        <f t="shared" si="49"/>
        <v>124</v>
      </c>
      <c r="AC104" s="350">
        <f t="shared" si="64"/>
        <v>114</v>
      </c>
      <c r="AD104" s="350">
        <f t="shared" si="50"/>
        <v>123</v>
      </c>
      <c r="AE104" s="350">
        <f t="shared" si="65"/>
        <v>-8.3333333333333329E-2</v>
      </c>
      <c r="AF104" s="350">
        <f t="shared" si="66"/>
        <v>8562.0406671932396</v>
      </c>
      <c r="AG104" s="350"/>
      <c r="AH104" s="350"/>
      <c r="AI104" s="350"/>
    </row>
    <row r="105" spans="2:35">
      <c r="B105" s="818" t="s">
        <v>1160</v>
      </c>
      <c r="C105" s="289">
        <v>2005</v>
      </c>
      <c r="D105" s="289">
        <f t="shared" si="52"/>
        <v>105</v>
      </c>
      <c r="E105" s="289">
        <v>1</v>
      </c>
      <c r="F105" s="351">
        <v>0</v>
      </c>
      <c r="G105" s="344" t="s">
        <v>169</v>
      </c>
      <c r="H105" s="289">
        <v>10</v>
      </c>
      <c r="I105" s="289">
        <f t="shared" si="67"/>
        <v>115</v>
      </c>
      <c r="L105" s="819">
        <v>21079</v>
      </c>
      <c r="M105" s="350">
        <v>0</v>
      </c>
      <c r="N105" s="350">
        <f t="shared" si="53"/>
        <v>21079</v>
      </c>
      <c r="O105" s="350">
        <f t="shared" si="54"/>
        <v>175.65833333333333</v>
      </c>
      <c r="P105" s="350">
        <f t="shared" si="55"/>
        <v>0</v>
      </c>
      <c r="Q105" s="350">
        <f t="shared" si="56"/>
        <v>0</v>
      </c>
      <c r="R105" s="350">
        <f t="shared" si="57"/>
        <v>0</v>
      </c>
      <c r="S105" s="352">
        <f>+'WP-11 - Non-Regulated'!$K$40</f>
        <v>0.5539209822239638</v>
      </c>
      <c r="T105" s="350">
        <f t="shared" si="58"/>
        <v>0</v>
      </c>
      <c r="U105" s="350">
        <f t="shared" si="59"/>
        <v>21079</v>
      </c>
      <c r="V105" s="350">
        <f t="shared" si="60"/>
        <v>11676.100384298932</v>
      </c>
      <c r="W105" s="352">
        <v>1</v>
      </c>
      <c r="X105" s="350">
        <f t="shared" si="61"/>
        <v>11676.100384298932</v>
      </c>
      <c r="Y105" s="350">
        <f t="shared" si="62"/>
        <v>11676.100384298932</v>
      </c>
      <c r="Z105" s="350">
        <f t="shared" si="51"/>
        <v>0</v>
      </c>
      <c r="AA105" s="350">
        <f t="shared" si="63"/>
        <v>105</v>
      </c>
      <c r="AB105" s="350">
        <f t="shared" si="49"/>
        <v>124</v>
      </c>
      <c r="AC105" s="350">
        <f t="shared" si="64"/>
        <v>115</v>
      </c>
      <c r="AD105" s="350">
        <f t="shared" si="50"/>
        <v>123</v>
      </c>
      <c r="AE105" s="350">
        <f t="shared" si="65"/>
        <v>-8.3333333333333329E-2</v>
      </c>
      <c r="AF105" s="350">
        <f t="shared" si="66"/>
        <v>9402.8996157010679</v>
      </c>
      <c r="AG105" s="350"/>
      <c r="AH105" s="350"/>
      <c r="AI105" s="350"/>
    </row>
    <row r="106" spans="2:35">
      <c r="B106" s="818" t="s">
        <v>1123</v>
      </c>
      <c r="C106" s="289">
        <v>2005</v>
      </c>
      <c r="D106" s="289">
        <f t="shared" si="52"/>
        <v>105</v>
      </c>
      <c r="E106" s="289">
        <v>1</v>
      </c>
      <c r="F106" s="351">
        <v>0</v>
      </c>
      <c r="G106" s="344" t="s">
        <v>169</v>
      </c>
      <c r="H106" s="289">
        <v>10</v>
      </c>
      <c r="I106" s="289">
        <f t="shared" si="67"/>
        <v>115</v>
      </c>
      <c r="L106" s="819">
        <v>3027</v>
      </c>
      <c r="M106" s="350">
        <v>0</v>
      </c>
      <c r="N106" s="350">
        <f t="shared" si="53"/>
        <v>3027</v>
      </c>
      <c r="O106" s="350">
        <f t="shared" si="54"/>
        <v>25.224999999999998</v>
      </c>
      <c r="P106" s="350">
        <f t="shared" si="55"/>
        <v>0</v>
      </c>
      <c r="Q106" s="350">
        <f t="shared" si="56"/>
        <v>0</v>
      </c>
      <c r="R106" s="350">
        <f t="shared" si="57"/>
        <v>0</v>
      </c>
      <c r="S106" s="352">
        <f>+'WP-11 - Non-Regulated'!$K$40</f>
        <v>0.5539209822239638</v>
      </c>
      <c r="T106" s="350">
        <f t="shared" si="58"/>
        <v>0</v>
      </c>
      <c r="U106" s="350">
        <f t="shared" si="59"/>
        <v>3027</v>
      </c>
      <c r="V106" s="350">
        <f t="shared" si="60"/>
        <v>1676.7188131919384</v>
      </c>
      <c r="W106" s="352">
        <v>1</v>
      </c>
      <c r="X106" s="350">
        <f t="shared" si="61"/>
        <v>1676.7188131919384</v>
      </c>
      <c r="Y106" s="350">
        <f t="shared" si="62"/>
        <v>1676.7188131919384</v>
      </c>
      <c r="Z106" s="350">
        <f t="shared" si="51"/>
        <v>0</v>
      </c>
      <c r="AA106" s="350">
        <f t="shared" si="63"/>
        <v>105</v>
      </c>
      <c r="AB106" s="350">
        <f t="shared" si="49"/>
        <v>124</v>
      </c>
      <c r="AC106" s="350">
        <f t="shared" si="64"/>
        <v>115</v>
      </c>
      <c r="AD106" s="350">
        <f t="shared" si="50"/>
        <v>123</v>
      </c>
      <c r="AE106" s="350">
        <f t="shared" si="65"/>
        <v>-8.3333333333333329E-2</v>
      </c>
      <c r="AF106" s="350">
        <f t="shared" si="66"/>
        <v>1350.2811868080616</v>
      </c>
      <c r="AG106" s="350"/>
      <c r="AH106" s="350"/>
      <c r="AI106" s="350"/>
    </row>
    <row r="107" spans="2:35">
      <c r="B107" s="818" t="s">
        <v>1161</v>
      </c>
      <c r="C107" s="289">
        <v>2005</v>
      </c>
      <c r="D107" s="289">
        <f t="shared" si="52"/>
        <v>105</v>
      </c>
      <c r="E107" s="289">
        <v>1</v>
      </c>
      <c r="F107" s="351">
        <v>0</v>
      </c>
      <c r="G107" s="344" t="s">
        <v>169</v>
      </c>
      <c r="H107" s="289">
        <v>10</v>
      </c>
      <c r="I107" s="289">
        <f t="shared" si="67"/>
        <v>115</v>
      </c>
      <c r="L107" s="819">
        <v>52315</v>
      </c>
      <c r="M107" s="350">
        <v>0</v>
      </c>
      <c r="N107" s="350">
        <f t="shared" si="53"/>
        <v>52315</v>
      </c>
      <c r="O107" s="350">
        <f t="shared" si="54"/>
        <v>435.95833333333331</v>
      </c>
      <c r="P107" s="350">
        <f t="shared" si="55"/>
        <v>0</v>
      </c>
      <c r="Q107" s="350">
        <f t="shared" si="56"/>
        <v>0</v>
      </c>
      <c r="R107" s="350">
        <f t="shared" si="57"/>
        <v>0</v>
      </c>
      <c r="S107" s="352">
        <f>+'WP-11 - Non-Regulated'!$K$40</f>
        <v>0.5539209822239638</v>
      </c>
      <c r="T107" s="350">
        <f t="shared" si="58"/>
        <v>0</v>
      </c>
      <c r="U107" s="350">
        <f t="shared" si="59"/>
        <v>52315</v>
      </c>
      <c r="V107" s="350">
        <f t="shared" si="60"/>
        <v>28978.376185046665</v>
      </c>
      <c r="W107" s="352">
        <v>1</v>
      </c>
      <c r="X107" s="350">
        <f t="shared" si="61"/>
        <v>28978.376185046665</v>
      </c>
      <c r="Y107" s="350">
        <f t="shared" si="62"/>
        <v>28978.376185046665</v>
      </c>
      <c r="Z107" s="350">
        <f t="shared" si="51"/>
        <v>0</v>
      </c>
      <c r="AA107" s="350">
        <f t="shared" si="63"/>
        <v>105</v>
      </c>
      <c r="AB107" s="350">
        <f t="shared" si="49"/>
        <v>124</v>
      </c>
      <c r="AC107" s="350">
        <f t="shared" si="64"/>
        <v>115</v>
      </c>
      <c r="AD107" s="350">
        <f t="shared" si="50"/>
        <v>123</v>
      </c>
      <c r="AE107" s="350">
        <f t="shared" si="65"/>
        <v>-8.3333333333333329E-2</v>
      </c>
      <c r="AF107" s="350">
        <f t="shared" si="66"/>
        <v>23336.623814953335</v>
      </c>
      <c r="AG107" s="350"/>
      <c r="AH107" s="350"/>
      <c r="AI107" s="350"/>
    </row>
    <row r="108" spans="2:35">
      <c r="B108" s="818" t="s">
        <v>1162</v>
      </c>
      <c r="C108" s="289">
        <v>2005</v>
      </c>
      <c r="D108" s="289">
        <f t="shared" si="52"/>
        <v>105</v>
      </c>
      <c r="E108" s="289">
        <v>1</v>
      </c>
      <c r="F108" s="351">
        <v>0</v>
      </c>
      <c r="G108" s="344" t="s">
        <v>169</v>
      </c>
      <c r="H108" s="289">
        <v>10</v>
      </c>
      <c r="I108" s="289">
        <f t="shared" si="67"/>
        <v>115</v>
      </c>
      <c r="L108" s="819">
        <v>16437</v>
      </c>
      <c r="M108" s="350">
        <v>0</v>
      </c>
      <c r="N108" s="350">
        <f t="shared" si="53"/>
        <v>16437</v>
      </c>
      <c r="O108" s="350">
        <f t="shared" si="54"/>
        <v>136.97499999999999</v>
      </c>
      <c r="P108" s="350">
        <f t="shared" si="55"/>
        <v>0</v>
      </c>
      <c r="Q108" s="350">
        <f t="shared" si="56"/>
        <v>0</v>
      </c>
      <c r="R108" s="350">
        <f t="shared" si="57"/>
        <v>0</v>
      </c>
      <c r="S108" s="352">
        <f>+'WP-11 - Non-Regulated'!$K$40</f>
        <v>0.5539209822239638</v>
      </c>
      <c r="T108" s="350">
        <f t="shared" si="58"/>
        <v>0</v>
      </c>
      <c r="U108" s="350">
        <f t="shared" si="59"/>
        <v>16437</v>
      </c>
      <c r="V108" s="350">
        <f t="shared" si="60"/>
        <v>9104.7991848152924</v>
      </c>
      <c r="W108" s="352">
        <v>1</v>
      </c>
      <c r="X108" s="350">
        <f t="shared" si="61"/>
        <v>9104.7991848152924</v>
      </c>
      <c r="Y108" s="350">
        <f t="shared" si="62"/>
        <v>9104.7991848152924</v>
      </c>
      <c r="Z108" s="350">
        <f t="shared" si="51"/>
        <v>0</v>
      </c>
      <c r="AA108" s="350">
        <f t="shared" si="63"/>
        <v>105</v>
      </c>
      <c r="AB108" s="350">
        <f t="shared" si="49"/>
        <v>124</v>
      </c>
      <c r="AC108" s="350">
        <f t="shared" si="64"/>
        <v>115</v>
      </c>
      <c r="AD108" s="350">
        <f t="shared" si="50"/>
        <v>123</v>
      </c>
      <c r="AE108" s="350">
        <f t="shared" si="65"/>
        <v>-8.3333333333333329E-2</v>
      </c>
      <c r="AF108" s="350">
        <f t="shared" si="66"/>
        <v>7332.2008151847076</v>
      </c>
      <c r="AG108" s="350"/>
      <c r="AH108" s="350"/>
      <c r="AI108" s="350"/>
    </row>
    <row r="109" spans="2:35">
      <c r="B109" s="818" t="s">
        <v>1163</v>
      </c>
      <c r="C109" s="289">
        <v>2005</v>
      </c>
      <c r="D109" s="289">
        <f t="shared" si="52"/>
        <v>105</v>
      </c>
      <c r="E109" s="289">
        <v>1</v>
      </c>
      <c r="F109" s="351">
        <v>0</v>
      </c>
      <c r="G109" s="344" t="s">
        <v>169</v>
      </c>
      <c r="H109" s="289">
        <v>10</v>
      </c>
      <c r="I109" s="289">
        <f t="shared" si="67"/>
        <v>115</v>
      </c>
      <c r="L109" s="819">
        <v>53409</v>
      </c>
      <c r="M109" s="350">
        <v>0</v>
      </c>
      <c r="N109" s="350">
        <f t="shared" si="53"/>
        <v>53409</v>
      </c>
      <c r="O109" s="350">
        <f t="shared" si="54"/>
        <v>445.07499999999999</v>
      </c>
      <c r="P109" s="350">
        <f t="shared" si="55"/>
        <v>0</v>
      </c>
      <c r="Q109" s="350">
        <f t="shared" si="56"/>
        <v>0</v>
      </c>
      <c r="R109" s="350">
        <f t="shared" si="57"/>
        <v>0</v>
      </c>
      <c r="S109" s="352">
        <f>+'WP-11 - Non-Regulated'!$K$40</f>
        <v>0.5539209822239638</v>
      </c>
      <c r="T109" s="350">
        <f t="shared" si="58"/>
        <v>0</v>
      </c>
      <c r="U109" s="350">
        <f t="shared" si="59"/>
        <v>53409</v>
      </c>
      <c r="V109" s="350">
        <f t="shared" si="60"/>
        <v>29584.365739599682</v>
      </c>
      <c r="W109" s="352">
        <v>1</v>
      </c>
      <c r="X109" s="350">
        <f t="shared" si="61"/>
        <v>29584.365739599682</v>
      </c>
      <c r="Y109" s="350">
        <f t="shared" si="62"/>
        <v>29584.365739599682</v>
      </c>
      <c r="Z109" s="350">
        <f t="shared" si="51"/>
        <v>0</v>
      </c>
      <c r="AA109" s="350">
        <f t="shared" si="63"/>
        <v>105</v>
      </c>
      <c r="AB109" s="350">
        <f t="shared" si="49"/>
        <v>124</v>
      </c>
      <c r="AC109" s="350">
        <f t="shared" si="64"/>
        <v>115</v>
      </c>
      <c r="AD109" s="350">
        <f t="shared" si="50"/>
        <v>123</v>
      </c>
      <c r="AE109" s="350">
        <f t="shared" si="65"/>
        <v>-8.3333333333333329E-2</v>
      </c>
      <c r="AF109" s="350">
        <f t="shared" si="66"/>
        <v>23824.634260400318</v>
      </c>
      <c r="AG109" s="350"/>
      <c r="AH109" s="350"/>
      <c r="AI109" s="350"/>
    </row>
    <row r="110" spans="2:35">
      <c r="B110" s="818" t="s">
        <v>1164</v>
      </c>
      <c r="C110" s="289">
        <v>2006</v>
      </c>
      <c r="D110" s="289">
        <f t="shared" si="52"/>
        <v>106</v>
      </c>
      <c r="E110" s="289">
        <v>1</v>
      </c>
      <c r="F110" s="351">
        <v>0</v>
      </c>
      <c r="G110" s="344" t="s">
        <v>169</v>
      </c>
      <c r="H110" s="289">
        <v>10</v>
      </c>
      <c r="I110" s="289">
        <f t="shared" si="67"/>
        <v>116</v>
      </c>
      <c r="L110" s="819">
        <v>8400</v>
      </c>
      <c r="M110" s="350">
        <v>0</v>
      </c>
      <c r="N110" s="350">
        <f t="shared" si="53"/>
        <v>8400</v>
      </c>
      <c r="O110" s="350">
        <f t="shared" si="54"/>
        <v>70</v>
      </c>
      <c r="P110" s="350">
        <f t="shared" si="55"/>
        <v>0</v>
      </c>
      <c r="Q110" s="350">
        <f t="shared" si="56"/>
        <v>0</v>
      </c>
      <c r="R110" s="350">
        <f t="shared" si="57"/>
        <v>0</v>
      </c>
      <c r="S110" s="352">
        <f>+'WP-11 - Non-Regulated'!$K$40</f>
        <v>0.5539209822239638</v>
      </c>
      <c r="T110" s="350">
        <f t="shared" si="58"/>
        <v>0</v>
      </c>
      <c r="U110" s="350">
        <f t="shared" si="59"/>
        <v>8400</v>
      </c>
      <c r="V110" s="350">
        <f t="shared" si="60"/>
        <v>4652.9362506812959</v>
      </c>
      <c r="W110" s="352">
        <v>1</v>
      </c>
      <c r="X110" s="350">
        <f t="shared" si="61"/>
        <v>4652.9362506812959</v>
      </c>
      <c r="Y110" s="350">
        <f t="shared" si="62"/>
        <v>4652.9362506812959</v>
      </c>
      <c r="Z110" s="350">
        <f t="shared" si="51"/>
        <v>0</v>
      </c>
      <c r="AA110" s="350">
        <f t="shared" si="63"/>
        <v>106</v>
      </c>
      <c r="AB110" s="350">
        <f t="shared" si="49"/>
        <v>124</v>
      </c>
      <c r="AC110" s="350">
        <f t="shared" si="64"/>
        <v>116</v>
      </c>
      <c r="AD110" s="350">
        <f t="shared" si="50"/>
        <v>123</v>
      </c>
      <c r="AE110" s="350">
        <f t="shared" si="65"/>
        <v>-8.3333333333333329E-2</v>
      </c>
      <c r="AF110" s="350">
        <f t="shared" si="66"/>
        <v>3747.0637493187041</v>
      </c>
      <c r="AG110" s="350"/>
      <c r="AH110" s="350"/>
      <c r="AI110" s="350"/>
    </row>
    <row r="111" spans="2:35">
      <c r="B111" s="818" t="s">
        <v>1127</v>
      </c>
      <c r="C111" s="289">
        <v>2006</v>
      </c>
      <c r="D111" s="289">
        <f t="shared" si="52"/>
        <v>106</v>
      </c>
      <c r="E111" s="289">
        <v>1</v>
      </c>
      <c r="F111" s="351">
        <v>0</v>
      </c>
      <c r="G111" s="344" t="s">
        <v>169</v>
      </c>
      <c r="H111" s="289">
        <v>10</v>
      </c>
      <c r="I111" s="289">
        <f t="shared" si="67"/>
        <v>116</v>
      </c>
      <c r="L111" s="819">
        <v>10000</v>
      </c>
      <c r="M111" s="350">
        <v>0</v>
      </c>
      <c r="N111" s="350">
        <f t="shared" si="53"/>
        <v>10000</v>
      </c>
      <c r="O111" s="350">
        <f t="shared" si="54"/>
        <v>83.333333333333329</v>
      </c>
      <c r="P111" s="350">
        <f t="shared" si="55"/>
        <v>0</v>
      </c>
      <c r="Q111" s="350">
        <f t="shared" si="56"/>
        <v>0</v>
      </c>
      <c r="R111" s="350">
        <f t="shared" si="57"/>
        <v>0</v>
      </c>
      <c r="S111" s="352">
        <f>+'WP-11 - Non-Regulated'!$K$40</f>
        <v>0.5539209822239638</v>
      </c>
      <c r="T111" s="350">
        <f t="shared" si="58"/>
        <v>0</v>
      </c>
      <c r="U111" s="350">
        <f t="shared" si="59"/>
        <v>10000</v>
      </c>
      <c r="V111" s="350">
        <f t="shared" si="60"/>
        <v>5539.209822239638</v>
      </c>
      <c r="W111" s="352">
        <v>1</v>
      </c>
      <c r="X111" s="350">
        <f t="shared" si="61"/>
        <v>5539.209822239638</v>
      </c>
      <c r="Y111" s="350">
        <f t="shared" si="62"/>
        <v>5539.209822239638</v>
      </c>
      <c r="Z111" s="350">
        <f t="shared" si="51"/>
        <v>0</v>
      </c>
      <c r="AA111" s="350">
        <f t="shared" si="63"/>
        <v>106</v>
      </c>
      <c r="AB111" s="350">
        <f t="shared" si="49"/>
        <v>124</v>
      </c>
      <c r="AC111" s="350">
        <f t="shared" si="64"/>
        <v>116</v>
      </c>
      <c r="AD111" s="350">
        <f t="shared" si="50"/>
        <v>123</v>
      </c>
      <c r="AE111" s="350">
        <f t="shared" si="65"/>
        <v>-8.3333333333333329E-2</v>
      </c>
      <c r="AF111" s="350">
        <f t="shared" si="66"/>
        <v>4460.790177760362</v>
      </c>
      <c r="AG111" s="350"/>
      <c r="AH111" s="350"/>
      <c r="AI111" s="350"/>
    </row>
    <row r="112" spans="2:35">
      <c r="B112" s="818" t="s">
        <v>1165</v>
      </c>
      <c r="C112" s="289">
        <v>2006</v>
      </c>
      <c r="D112" s="289">
        <f t="shared" si="52"/>
        <v>106</v>
      </c>
      <c r="E112" s="289">
        <v>1</v>
      </c>
      <c r="F112" s="351">
        <v>0</v>
      </c>
      <c r="G112" s="344" t="s">
        <v>169</v>
      </c>
      <c r="H112" s="289">
        <v>10</v>
      </c>
      <c r="I112" s="289">
        <f t="shared" si="67"/>
        <v>116</v>
      </c>
      <c r="L112" s="819">
        <v>2670</v>
      </c>
      <c r="M112" s="350">
        <v>0</v>
      </c>
      <c r="N112" s="350">
        <f t="shared" si="53"/>
        <v>2670</v>
      </c>
      <c r="O112" s="350">
        <f t="shared" si="54"/>
        <v>22.25</v>
      </c>
      <c r="P112" s="350">
        <f t="shared" si="55"/>
        <v>0</v>
      </c>
      <c r="Q112" s="350">
        <f t="shared" si="56"/>
        <v>0</v>
      </c>
      <c r="R112" s="350">
        <f t="shared" si="57"/>
        <v>0</v>
      </c>
      <c r="S112" s="352">
        <f>+'WP-11 - Non-Regulated'!$K$40</f>
        <v>0.5539209822239638</v>
      </c>
      <c r="T112" s="350">
        <f t="shared" si="58"/>
        <v>0</v>
      </c>
      <c r="U112" s="350">
        <f t="shared" si="59"/>
        <v>2670</v>
      </c>
      <c r="V112" s="350">
        <f t="shared" si="60"/>
        <v>1478.9690225379834</v>
      </c>
      <c r="W112" s="352">
        <v>1</v>
      </c>
      <c r="X112" s="350">
        <f t="shared" si="61"/>
        <v>1478.9690225379834</v>
      </c>
      <c r="Y112" s="350">
        <f t="shared" si="62"/>
        <v>1478.9690225379834</v>
      </c>
      <c r="Z112" s="350">
        <f t="shared" si="51"/>
        <v>0</v>
      </c>
      <c r="AA112" s="350">
        <f t="shared" si="63"/>
        <v>106</v>
      </c>
      <c r="AB112" s="350">
        <f t="shared" si="49"/>
        <v>124</v>
      </c>
      <c r="AC112" s="350">
        <f t="shared" si="64"/>
        <v>116</v>
      </c>
      <c r="AD112" s="350">
        <f t="shared" si="50"/>
        <v>123</v>
      </c>
      <c r="AE112" s="350">
        <f t="shared" si="65"/>
        <v>-8.3333333333333329E-2</v>
      </c>
      <c r="AF112" s="350">
        <f t="shared" si="66"/>
        <v>1191.0309774620166</v>
      </c>
      <c r="AG112" s="350"/>
      <c r="AH112" s="350"/>
      <c r="AI112" s="350"/>
    </row>
    <row r="113" spans="2:37">
      <c r="B113" s="818" t="s">
        <v>1166</v>
      </c>
      <c r="C113" s="289">
        <v>2006</v>
      </c>
      <c r="D113" s="289">
        <f t="shared" si="52"/>
        <v>106</v>
      </c>
      <c r="E113" s="289">
        <v>1</v>
      </c>
      <c r="F113" s="351">
        <v>0</v>
      </c>
      <c r="G113" s="344" t="s">
        <v>169</v>
      </c>
      <c r="H113" s="289">
        <v>10</v>
      </c>
      <c r="I113" s="289">
        <f t="shared" si="67"/>
        <v>116</v>
      </c>
      <c r="L113" s="819">
        <v>6230</v>
      </c>
      <c r="M113" s="350">
        <v>0</v>
      </c>
      <c r="N113" s="350">
        <f t="shared" si="53"/>
        <v>6230</v>
      </c>
      <c r="O113" s="350">
        <f t="shared" si="54"/>
        <v>51.916666666666664</v>
      </c>
      <c r="P113" s="350">
        <f t="shared" si="55"/>
        <v>0</v>
      </c>
      <c r="Q113" s="350">
        <f t="shared" si="56"/>
        <v>0</v>
      </c>
      <c r="R113" s="350">
        <f t="shared" si="57"/>
        <v>0</v>
      </c>
      <c r="S113" s="352">
        <f>+'WP-11 - Non-Regulated'!$K$40</f>
        <v>0.5539209822239638</v>
      </c>
      <c r="T113" s="350">
        <f t="shared" si="58"/>
        <v>0</v>
      </c>
      <c r="U113" s="350">
        <f t="shared" si="59"/>
        <v>6230</v>
      </c>
      <c r="V113" s="350">
        <f t="shared" si="60"/>
        <v>3450.9277192552945</v>
      </c>
      <c r="W113" s="352">
        <v>1</v>
      </c>
      <c r="X113" s="350">
        <f t="shared" si="61"/>
        <v>3450.9277192552945</v>
      </c>
      <c r="Y113" s="350">
        <f t="shared" si="62"/>
        <v>3450.9277192552945</v>
      </c>
      <c r="Z113" s="350">
        <f t="shared" si="51"/>
        <v>0</v>
      </c>
      <c r="AA113" s="350">
        <f t="shared" si="63"/>
        <v>106</v>
      </c>
      <c r="AB113" s="350">
        <f t="shared" si="49"/>
        <v>124</v>
      </c>
      <c r="AC113" s="350">
        <f t="shared" si="64"/>
        <v>116</v>
      </c>
      <c r="AD113" s="350">
        <f t="shared" si="50"/>
        <v>123</v>
      </c>
      <c r="AE113" s="350">
        <f t="shared" si="65"/>
        <v>-8.3333333333333329E-2</v>
      </c>
      <c r="AF113" s="350">
        <f t="shared" si="66"/>
        <v>2779.0722807447055</v>
      </c>
      <c r="AG113" s="350"/>
      <c r="AH113" s="350"/>
      <c r="AI113" s="350"/>
    </row>
    <row r="114" spans="2:37">
      <c r="B114" s="818" t="s">
        <v>1167</v>
      </c>
      <c r="C114" s="289">
        <v>2006</v>
      </c>
      <c r="D114" s="289">
        <f t="shared" si="52"/>
        <v>106</v>
      </c>
      <c r="E114" s="289">
        <v>1</v>
      </c>
      <c r="F114" s="351">
        <v>0</v>
      </c>
      <c r="G114" s="344" t="s">
        <v>169</v>
      </c>
      <c r="H114" s="289">
        <v>10</v>
      </c>
      <c r="I114" s="289">
        <f t="shared" si="67"/>
        <v>116</v>
      </c>
      <c r="L114" s="819">
        <v>10780</v>
      </c>
      <c r="M114" s="350">
        <v>0</v>
      </c>
      <c r="N114" s="350">
        <f t="shared" si="53"/>
        <v>10780</v>
      </c>
      <c r="O114" s="350">
        <f t="shared" si="54"/>
        <v>89.833333333333329</v>
      </c>
      <c r="P114" s="350">
        <f t="shared" si="55"/>
        <v>0</v>
      </c>
      <c r="Q114" s="350">
        <f t="shared" si="56"/>
        <v>0</v>
      </c>
      <c r="R114" s="350">
        <f t="shared" si="57"/>
        <v>0</v>
      </c>
      <c r="S114" s="352">
        <f>+'WP-11 - Non-Regulated'!$K$40</f>
        <v>0.5539209822239638</v>
      </c>
      <c r="T114" s="350">
        <f t="shared" si="58"/>
        <v>0</v>
      </c>
      <c r="U114" s="350">
        <f t="shared" si="59"/>
        <v>10780</v>
      </c>
      <c r="V114" s="350">
        <f t="shared" si="60"/>
        <v>5971.2681883743298</v>
      </c>
      <c r="W114" s="352">
        <v>1</v>
      </c>
      <c r="X114" s="350">
        <f t="shared" si="61"/>
        <v>5971.2681883743298</v>
      </c>
      <c r="Y114" s="350">
        <f t="shared" si="62"/>
        <v>5971.2681883743298</v>
      </c>
      <c r="Z114" s="350">
        <f t="shared" si="51"/>
        <v>0</v>
      </c>
      <c r="AA114" s="350">
        <f t="shared" si="63"/>
        <v>106</v>
      </c>
      <c r="AB114" s="350">
        <f t="shared" si="49"/>
        <v>124</v>
      </c>
      <c r="AC114" s="350">
        <f t="shared" si="64"/>
        <v>116</v>
      </c>
      <c r="AD114" s="350">
        <f t="shared" si="50"/>
        <v>123</v>
      </c>
      <c r="AE114" s="350">
        <f t="shared" si="65"/>
        <v>-8.3333333333333329E-2</v>
      </c>
      <c r="AF114" s="350">
        <f t="shared" si="66"/>
        <v>4808.7318116256702</v>
      </c>
      <c r="AG114" s="350"/>
      <c r="AH114" s="350"/>
      <c r="AI114" s="350"/>
    </row>
    <row r="115" spans="2:37">
      <c r="B115" s="818" t="s">
        <v>1116</v>
      </c>
      <c r="C115" s="289">
        <v>2006</v>
      </c>
      <c r="D115" s="289">
        <f t="shared" si="52"/>
        <v>106</v>
      </c>
      <c r="E115" s="289">
        <v>1</v>
      </c>
      <c r="F115" s="351">
        <v>0</v>
      </c>
      <c r="G115" s="344" t="s">
        <v>169</v>
      </c>
      <c r="H115" s="289">
        <v>10</v>
      </c>
      <c r="I115" s="289">
        <f t="shared" si="67"/>
        <v>116</v>
      </c>
      <c r="L115" s="819">
        <v>4620</v>
      </c>
      <c r="M115" s="350">
        <v>0</v>
      </c>
      <c r="N115" s="350">
        <f t="shared" si="53"/>
        <v>4620</v>
      </c>
      <c r="O115" s="350">
        <f t="shared" si="54"/>
        <v>38.5</v>
      </c>
      <c r="P115" s="350">
        <f t="shared" si="55"/>
        <v>0</v>
      </c>
      <c r="Q115" s="350">
        <f t="shared" si="56"/>
        <v>0</v>
      </c>
      <c r="R115" s="350">
        <f t="shared" si="57"/>
        <v>0</v>
      </c>
      <c r="S115" s="352">
        <f>+'WP-11 - Non-Regulated'!$K$40</f>
        <v>0.5539209822239638</v>
      </c>
      <c r="T115" s="350">
        <f t="shared" si="58"/>
        <v>0</v>
      </c>
      <c r="U115" s="350">
        <f t="shared" si="59"/>
        <v>4620</v>
      </c>
      <c r="V115" s="350">
        <f t="shared" si="60"/>
        <v>2559.1149378747127</v>
      </c>
      <c r="W115" s="352">
        <v>1</v>
      </c>
      <c r="X115" s="350">
        <f t="shared" si="61"/>
        <v>2559.1149378747127</v>
      </c>
      <c r="Y115" s="350">
        <f t="shared" si="62"/>
        <v>2559.1149378747127</v>
      </c>
      <c r="Z115" s="350">
        <f t="shared" si="51"/>
        <v>0</v>
      </c>
      <c r="AA115" s="350">
        <f t="shared" si="63"/>
        <v>106</v>
      </c>
      <c r="AB115" s="350">
        <f t="shared" si="49"/>
        <v>124</v>
      </c>
      <c r="AC115" s="350">
        <f t="shared" si="64"/>
        <v>116</v>
      </c>
      <c r="AD115" s="350">
        <f t="shared" si="50"/>
        <v>123</v>
      </c>
      <c r="AE115" s="350">
        <f t="shared" si="65"/>
        <v>-8.3333333333333329E-2</v>
      </c>
      <c r="AF115" s="350">
        <f t="shared" si="66"/>
        <v>2060.8850621252873</v>
      </c>
      <c r="AG115" s="350"/>
      <c r="AH115" s="350"/>
      <c r="AI115" s="350"/>
    </row>
    <row r="116" spans="2:37">
      <c r="B116" s="818" t="s">
        <v>1168</v>
      </c>
      <c r="C116" s="289">
        <v>2006</v>
      </c>
      <c r="D116" s="289">
        <f t="shared" si="52"/>
        <v>106</v>
      </c>
      <c r="E116" s="289">
        <v>1</v>
      </c>
      <c r="F116" s="351">
        <v>0</v>
      </c>
      <c r="G116" s="344" t="s">
        <v>169</v>
      </c>
      <c r="H116" s="289">
        <v>10</v>
      </c>
      <c r="I116" s="289">
        <f t="shared" si="67"/>
        <v>116</v>
      </c>
      <c r="L116" s="819">
        <v>3180</v>
      </c>
      <c r="M116" s="350">
        <v>0</v>
      </c>
      <c r="N116" s="350">
        <f t="shared" si="53"/>
        <v>3180</v>
      </c>
      <c r="O116" s="350">
        <f t="shared" si="54"/>
        <v>26.5</v>
      </c>
      <c r="P116" s="350">
        <f t="shared" si="55"/>
        <v>0</v>
      </c>
      <c r="Q116" s="350">
        <f t="shared" si="56"/>
        <v>0</v>
      </c>
      <c r="R116" s="350">
        <f t="shared" si="57"/>
        <v>0</v>
      </c>
      <c r="S116" s="352">
        <f>+'WP-11 - Non-Regulated'!$K$40</f>
        <v>0.5539209822239638</v>
      </c>
      <c r="T116" s="350">
        <f t="shared" si="58"/>
        <v>0</v>
      </c>
      <c r="U116" s="350">
        <f t="shared" si="59"/>
        <v>3180</v>
      </c>
      <c r="V116" s="350">
        <f t="shared" si="60"/>
        <v>1761.4687234722048</v>
      </c>
      <c r="W116" s="352">
        <v>1</v>
      </c>
      <c r="X116" s="350">
        <f t="shared" si="61"/>
        <v>1761.4687234722048</v>
      </c>
      <c r="Y116" s="350">
        <f t="shared" si="62"/>
        <v>1761.4687234722048</v>
      </c>
      <c r="Z116" s="350">
        <f t="shared" si="51"/>
        <v>0</v>
      </c>
      <c r="AA116" s="350">
        <f t="shared" si="63"/>
        <v>106</v>
      </c>
      <c r="AB116" s="350">
        <f t="shared" si="49"/>
        <v>124</v>
      </c>
      <c r="AC116" s="350">
        <f t="shared" si="64"/>
        <v>116</v>
      </c>
      <c r="AD116" s="350">
        <f t="shared" si="50"/>
        <v>123</v>
      </c>
      <c r="AE116" s="350">
        <f t="shared" si="65"/>
        <v>-8.3333333333333329E-2</v>
      </c>
      <c r="AF116" s="350">
        <f t="shared" si="66"/>
        <v>1418.5312765277952</v>
      </c>
      <c r="AG116" s="350"/>
      <c r="AH116" s="350"/>
      <c r="AI116" s="350"/>
    </row>
    <row r="117" spans="2:37">
      <c r="B117" s="818" t="s">
        <v>1169</v>
      </c>
      <c r="C117" s="289">
        <v>2006</v>
      </c>
      <c r="D117" s="289">
        <f t="shared" si="52"/>
        <v>106</v>
      </c>
      <c r="E117" s="289">
        <v>1</v>
      </c>
      <c r="F117" s="351">
        <v>0</v>
      </c>
      <c r="G117" s="344" t="s">
        <v>169</v>
      </c>
      <c r="H117" s="289">
        <v>10</v>
      </c>
      <c r="I117" s="289">
        <f t="shared" si="67"/>
        <v>116</v>
      </c>
      <c r="L117" s="819">
        <v>4770</v>
      </c>
      <c r="M117" s="350">
        <v>0</v>
      </c>
      <c r="N117" s="350">
        <f t="shared" si="53"/>
        <v>4770</v>
      </c>
      <c r="O117" s="350">
        <f t="shared" si="54"/>
        <v>39.75</v>
      </c>
      <c r="P117" s="350">
        <f t="shared" si="55"/>
        <v>0</v>
      </c>
      <c r="Q117" s="350">
        <f t="shared" si="56"/>
        <v>0</v>
      </c>
      <c r="R117" s="350">
        <f t="shared" si="57"/>
        <v>0</v>
      </c>
      <c r="S117" s="352">
        <f>+'WP-11 - Non-Regulated'!$K$40</f>
        <v>0.5539209822239638</v>
      </c>
      <c r="T117" s="350">
        <f t="shared" si="58"/>
        <v>0</v>
      </c>
      <c r="U117" s="350">
        <f t="shared" si="59"/>
        <v>4770</v>
      </c>
      <c r="V117" s="350">
        <f t="shared" si="60"/>
        <v>2642.2030852083071</v>
      </c>
      <c r="W117" s="352">
        <v>1</v>
      </c>
      <c r="X117" s="350">
        <f t="shared" si="61"/>
        <v>2642.2030852083071</v>
      </c>
      <c r="Y117" s="350">
        <f t="shared" si="62"/>
        <v>2642.2030852083071</v>
      </c>
      <c r="Z117" s="350">
        <f t="shared" si="51"/>
        <v>0</v>
      </c>
      <c r="AA117" s="350">
        <f t="shared" si="63"/>
        <v>106</v>
      </c>
      <c r="AB117" s="350">
        <f t="shared" si="49"/>
        <v>124</v>
      </c>
      <c r="AC117" s="350">
        <f t="shared" si="64"/>
        <v>116</v>
      </c>
      <c r="AD117" s="350">
        <f t="shared" si="50"/>
        <v>123</v>
      </c>
      <c r="AE117" s="350">
        <f t="shared" si="65"/>
        <v>-8.3333333333333329E-2</v>
      </c>
      <c r="AF117" s="350">
        <f t="shared" si="66"/>
        <v>2127.7969147916929</v>
      </c>
      <c r="AG117" s="350"/>
      <c r="AH117" s="350"/>
      <c r="AI117" s="350"/>
    </row>
    <row r="118" spans="2:37">
      <c r="B118" s="818" t="s">
        <v>1170</v>
      </c>
      <c r="C118" s="289">
        <v>2006</v>
      </c>
      <c r="D118" s="289">
        <f t="shared" si="52"/>
        <v>106</v>
      </c>
      <c r="E118" s="289">
        <v>1</v>
      </c>
      <c r="F118" s="351">
        <v>0</v>
      </c>
      <c r="G118" s="344" t="s">
        <v>169</v>
      </c>
      <c r="H118" s="289">
        <v>10</v>
      </c>
      <c r="I118" s="289">
        <f t="shared" si="67"/>
        <v>116</v>
      </c>
      <c r="L118" s="819">
        <v>49400</v>
      </c>
      <c r="M118" s="350">
        <v>0</v>
      </c>
      <c r="N118" s="350">
        <f t="shared" si="53"/>
        <v>49400</v>
      </c>
      <c r="O118" s="350">
        <f t="shared" si="54"/>
        <v>411.66666666666669</v>
      </c>
      <c r="P118" s="350">
        <f t="shared" si="55"/>
        <v>0</v>
      </c>
      <c r="Q118" s="350">
        <f t="shared" si="56"/>
        <v>0</v>
      </c>
      <c r="R118" s="350">
        <f t="shared" si="57"/>
        <v>0</v>
      </c>
      <c r="S118" s="352">
        <f>+'WP-11 - Non-Regulated'!$K$40</f>
        <v>0.5539209822239638</v>
      </c>
      <c r="T118" s="350">
        <f t="shared" si="58"/>
        <v>0</v>
      </c>
      <c r="U118" s="350">
        <f t="shared" si="59"/>
        <v>49400</v>
      </c>
      <c r="V118" s="350">
        <f t="shared" si="60"/>
        <v>27363.696521863811</v>
      </c>
      <c r="W118" s="352">
        <v>1</v>
      </c>
      <c r="X118" s="350">
        <f t="shared" si="61"/>
        <v>27363.696521863811</v>
      </c>
      <c r="Y118" s="350">
        <f t="shared" si="62"/>
        <v>27363.696521863811</v>
      </c>
      <c r="Z118" s="350">
        <f t="shared" si="51"/>
        <v>0</v>
      </c>
      <c r="AA118" s="350">
        <f t="shared" si="63"/>
        <v>106</v>
      </c>
      <c r="AB118" s="350">
        <f t="shared" si="49"/>
        <v>124</v>
      </c>
      <c r="AC118" s="350">
        <f t="shared" si="64"/>
        <v>116</v>
      </c>
      <c r="AD118" s="350">
        <f t="shared" si="50"/>
        <v>123</v>
      </c>
      <c r="AE118" s="350">
        <f t="shared" si="65"/>
        <v>-8.3333333333333329E-2</v>
      </c>
      <c r="AF118" s="350">
        <f t="shared" si="66"/>
        <v>22036.303478136189</v>
      </c>
      <c r="AG118" s="350"/>
      <c r="AH118" s="350"/>
      <c r="AI118" s="350"/>
    </row>
    <row r="119" spans="2:37">
      <c r="B119" s="818" t="s">
        <v>1171</v>
      </c>
      <c r="C119" s="289">
        <v>1998</v>
      </c>
      <c r="D119" s="289">
        <f t="shared" si="52"/>
        <v>98</v>
      </c>
      <c r="E119" s="289">
        <v>1</v>
      </c>
      <c r="F119" s="351">
        <v>0</v>
      </c>
      <c r="G119" s="344" t="s">
        <v>169</v>
      </c>
      <c r="H119" s="289">
        <v>10</v>
      </c>
      <c r="I119" s="289">
        <f t="shared" si="67"/>
        <v>108</v>
      </c>
      <c r="L119" s="819">
        <v>409</v>
      </c>
      <c r="M119" s="350">
        <v>0</v>
      </c>
      <c r="N119" s="350">
        <f t="shared" si="53"/>
        <v>409</v>
      </c>
      <c r="O119" s="350">
        <f t="shared" si="54"/>
        <v>3.4083333333333332</v>
      </c>
      <c r="P119" s="350">
        <f t="shared" si="55"/>
        <v>0</v>
      </c>
      <c r="Q119" s="350">
        <f t="shared" si="56"/>
        <v>0</v>
      </c>
      <c r="R119" s="350">
        <f t="shared" si="57"/>
        <v>0</v>
      </c>
      <c r="S119" s="352">
        <f>+'WP-11 - Non-Regulated'!$K$40</f>
        <v>0.5539209822239638</v>
      </c>
      <c r="T119" s="350">
        <f t="shared" si="58"/>
        <v>0</v>
      </c>
      <c r="U119" s="350">
        <f t="shared" si="59"/>
        <v>409</v>
      </c>
      <c r="V119" s="350">
        <f t="shared" si="60"/>
        <v>226.55368172960118</v>
      </c>
      <c r="W119" s="352">
        <v>1</v>
      </c>
      <c r="X119" s="350">
        <f t="shared" si="61"/>
        <v>226.55368172960118</v>
      </c>
      <c r="Y119" s="350">
        <f t="shared" si="62"/>
        <v>226.55368172960118</v>
      </c>
      <c r="Z119" s="350">
        <f t="shared" si="51"/>
        <v>0</v>
      </c>
      <c r="AA119" s="350">
        <f t="shared" si="63"/>
        <v>98</v>
      </c>
      <c r="AB119" s="350">
        <f t="shared" si="49"/>
        <v>124</v>
      </c>
      <c r="AC119" s="350">
        <f t="shared" si="64"/>
        <v>108</v>
      </c>
      <c r="AD119" s="350">
        <f t="shared" si="50"/>
        <v>123</v>
      </c>
      <c r="AE119" s="350">
        <f t="shared" si="65"/>
        <v>-8.3333333333333329E-2</v>
      </c>
      <c r="AF119" s="350">
        <f t="shared" si="66"/>
        <v>182.44631827039882</v>
      </c>
      <c r="AG119" s="350"/>
      <c r="AH119" s="350"/>
      <c r="AI119" s="350"/>
    </row>
    <row r="120" spans="2:37">
      <c r="B120" s="818" t="s">
        <v>1172</v>
      </c>
      <c r="C120" s="289">
        <v>1998</v>
      </c>
      <c r="D120" s="289">
        <f t="shared" si="52"/>
        <v>98</v>
      </c>
      <c r="E120" s="289">
        <v>1</v>
      </c>
      <c r="F120" s="351">
        <v>0</v>
      </c>
      <c r="G120" s="344" t="s">
        <v>169</v>
      </c>
      <c r="H120" s="289">
        <v>7</v>
      </c>
      <c r="I120" s="289">
        <f t="shared" si="67"/>
        <v>105</v>
      </c>
      <c r="L120" s="819">
        <v>151</v>
      </c>
      <c r="M120" s="350">
        <v>0</v>
      </c>
      <c r="N120" s="350">
        <f t="shared" si="53"/>
        <v>151</v>
      </c>
      <c r="O120" s="350">
        <f t="shared" si="54"/>
        <v>1.7976190476190477</v>
      </c>
      <c r="P120" s="350">
        <f t="shared" si="55"/>
        <v>0</v>
      </c>
      <c r="Q120" s="350">
        <f t="shared" si="56"/>
        <v>0</v>
      </c>
      <c r="R120" s="350">
        <f t="shared" si="57"/>
        <v>0</v>
      </c>
      <c r="S120" s="352">
        <f>+'WP-11 - Non-Regulated'!$K$40</f>
        <v>0.5539209822239638</v>
      </c>
      <c r="T120" s="350">
        <f t="shared" si="58"/>
        <v>0</v>
      </c>
      <c r="U120" s="350">
        <f t="shared" si="59"/>
        <v>151</v>
      </c>
      <c r="V120" s="350">
        <f t="shared" si="60"/>
        <v>83.642068315818534</v>
      </c>
      <c r="W120" s="352">
        <v>1</v>
      </c>
      <c r="X120" s="350">
        <f t="shared" si="61"/>
        <v>83.642068315818534</v>
      </c>
      <c r="Y120" s="350">
        <f t="shared" si="62"/>
        <v>83.642068315818534</v>
      </c>
      <c r="Z120" s="350">
        <f t="shared" si="51"/>
        <v>0</v>
      </c>
      <c r="AA120" s="350">
        <f t="shared" si="63"/>
        <v>98</v>
      </c>
      <c r="AB120" s="350">
        <f t="shared" si="49"/>
        <v>124</v>
      </c>
      <c r="AC120" s="350">
        <f t="shared" si="64"/>
        <v>105</v>
      </c>
      <c r="AD120" s="350">
        <f t="shared" si="50"/>
        <v>123</v>
      </c>
      <c r="AE120" s="350">
        <f t="shared" si="65"/>
        <v>-8.3333333333333329E-2</v>
      </c>
      <c r="AF120" s="350">
        <f t="shared" si="66"/>
        <v>67.357931684181466</v>
      </c>
      <c r="AG120" s="350"/>
      <c r="AH120" s="350"/>
      <c r="AI120" s="350"/>
    </row>
    <row r="121" spans="2:37">
      <c r="B121" s="818" t="s">
        <v>1173</v>
      </c>
      <c r="C121" s="289">
        <v>2004</v>
      </c>
      <c r="D121" s="289">
        <f t="shared" si="52"/>
        <v>104</v>
      </c>
      <c r="E121" s="289">
        <v>1</v>
      </c>
      <c r="F121" s="351">
        <v>0</v>
      </c>
      <c r="G121" s="344" t="s">
        <v>169</v>
      </c>
      <c r="H121" s="289">
        <v>7</v>
      </c>
      <c r="I121" s="289">
        <f t="shared" si="67"/>
        <v>111</v>
      </c>
      <c r="L121" s="819">
        <v>410</v>
      </c>
      <c r="M121" s="350">
        <v>0</v>
      </c>
      <c r="N121" s="350">
        <f t="shared" si="53"/>
        <v>410</v>
      </c>
      <c r="O121" s="350">
        <f t="shared" si="54"/>
        <v>4.8809523809523805</v>
      </c>
      <c r="P121" s="350">
        <f t="shared" si="55"/>
        <v>0</v>
      </c>
      <c r="Q121" s="350">
        <f t="shared" si="56"/>
        <v>0</v>
      </c>
      <c r="R121" s="350">
        <f t="shared" si="57"/>
        <v>0</v>
      </c>
      <c r="S121" s="352">
        <f>+'WP-11 - Non-Regulated'!$K$40</f>
        <v>0.5539209822239638</v>
      </c>
      <c r="T121" s="350">
        <f t="shared" si="58"/>
        <v>0</v>
      </c>
      <c r="U121" s="350">
        <f t="shared" si="59"/>
        <v>410</v>
      </c>
      <c r="V121" s="350">
        <f t="shared" si="60"/>
        <v>227.10760271182517</v>
      </c>
      <c r="W121" s="352">
        <v>1</v>
      </c>
      <c r="X121" s="350">
        <f t="shared" si="61"/>
        <v>227.10760271182517</v>
      </c>
      <c r="Y121" s="350">
        <f t="shared" si="62"/>
        <v>227.10760271182517</v>
      </c>
      <c r="Z121" s="350">
        <f t="shared" si="51"/>
        <v>0</v>
      </c>
      <c r="AA121" s="350">
        <f t="shared" si="63"/>
        <v>104</v>
      </c>
      <c r="AB121" s="350">
        <f t="shared" si="49"/>
        <v>124</v>
      </c>
      <c r="AC121" s="350">
        <f t="shared" si="64"/>
        <v>111</v>
      </c>
      <c r="AD121" s="350">
        <f t="shared" si="50"/>
        <v>123</v>
      </c>
      <c r="AE121" s="350">
        <f t="shared" si="65"/>
        <v>-8.3333333333333329E-2</v>
      </c>
      <c r="AF121" s="350">
        <f t="shared" si="66"/>
        <v>182.89239728817483</v>
      </c>
      <c r="AG121" s="350"/>
      <c r="AH121" s="350"/>
      <c r="AI121" s="350"/>
    </row>
    <row r="122" spans="2:37">
      <c r="B122" s="817" t="s">
        <v>1096</v>
      </c>
      <c r="C122" s="289">
        <v>2023</v>
      </c>
      <c r="D122" s="289">
        <f t="shared" si="52"/>
        <v>123</v>
      </c>
      <c r="E122" s="289">
        <v>5</v>
      </c>
      <c r="F122" s="351">
        <v>0</v>
      </c>
      <c r="G122" s="344" t="s">
        <v>169</v>
      </c>
      <c r="H122" s="289">
        <v>10</v>
      </c>
      <c r="I122" s="289">
        <f t="shared" si="67"/>
        <v>133</v>
      </c>
      <c r="L122" s="816">
        <v>68859.7</v>
      </c>
      <c r="M122" s="350"/>
      <c r="N122" s="350">
        <f t="shared" ref="N122" si="68">L122-(+L122*F122)</f>
        <v>68859.7</v>
      </c>
      <c r="O122" s="350">
        <f t="shared" ref="O122" si="69">N122/H122/12</f>
        <v>573.83083333333332</v>
      </c>
      <c r="P122" s="350">
        <f t="shared" ref="P122" si="70">IF(Q122&gt;0,0,IF(OR(AA122&gt;AB122,AC122&lt;AD122),0,IF(AND(AC122&gt;=AD122,AC122&lt;=AB122),O122*((AC122-AD122)*12),IF(AND(AD122&lt;=AA122,AB122&gt;=AA122),((AB122-AA122)*12)*O122,IF(AC122&gt;AB122,12*O122,0)))))</f>
        <v>4590.6466666666993</v>
      </c>
      <c r="Q122" s="350">
        <f t="shared" ref="Q122" si="71">IF(M122=0,0,IF(AND(AE122&gt;=AD122,AE122&lt;=AC122),((AE122-AD122)*12)*O122,0))</f>
        <v>0</v>
      </c>
      <c r="R122" s="350">
        <f t="shared" ref="R122" si="72">IF(Q122&gt;0,Q122,P122)</f>
        <v>4590.6466666666993</v>
      </c>
      <c r="S122" s="352">
        <f>+'WP-11 - Non-Regulated'!$K$40</f>
        <v>0.5539209822239638</v>
      </c>
      <c r="T122" s="350">
        <f t="shared" ref="T122" si="73">S122*SUM(P122:Q122)</f>
        <v>2542.8555106431836</v>
      </c>
      <c r="U122" s="350">
        <f t="shared" ref="U122" si="74">IF(AA122&gt;AB122,0,IF(AC122&lt;AD122,L122,IF(AND(AC122&gt;=AD122,AC122&lt;=AB122),(L122-R122),IF(AND(AD122&lt;=AA122,AB122&gt;=AA122),0,IF(AC122&gt;AB122,((AD122-AA122)*12)*O122,0)))))</f>
        <v>0</v>
      </c>
      <c r="V122" s="350">
        <f t="shared" ref="V122" si="75">U122*S122</f>
        <v>0</v>
      </c>
      <c r="W122" s="352">
        <v>1</v>
      </c>
      <c r="X122" s="350">
        <f t="shared" ref="X122" si="76">V122*W122</f>
        <v>0</v>
      </c>
      <c r="Y122" s="350">
        <f t="shared" ref="Y122" si="77">IF(M122&gt;0,0,X122+T122*W122)*W122</f>
        <v>2542.8555106431836</v>
      </c>
      <c r="Z122" s="350">
        <f t="shared" si="51"/>
        <v>35599.977149004299</v>
      </c>
      <c r="AA122" s="350">
        <f>$D122+(($E122-1)/12)</f>
        <v>123.33333333333333</v>
      </c>
      <c r="AB122" s="350">
        <f t="shared" ref="AB122" si="78">($B$10+1)-($B$7/12)</f>
        <v>124</v>
      </c>
      <c r="AC122" s="350">
        <f>$I122+(($E122-1)/12)</f>
        <v>133.33333333333334</v>
      </c>
      <c r="AD122" s="350">
        <f t="shared" ref="AD122" si="79">$B$9+($B$8/12)</f>
        <v>123</v>
      </c>
      <c r="AE122" s="350">
        <f>$J122+(($K122-1)/12)</f>
        <v>-8.3333333333333329E-2</v>
      </c>
      <c r="AF122" s="350">
        <f>L122-((X122+Y122)/2)-Z122</f>
        <v>31988.295095674104</v>
      </c>
      <c r="AG122" s="350"/>
      <c r="AH122" s="350"/>
      <c r="AI122" s="350"/>
    </row>
    <row r="123" spans="2:37">
      <c r="B123" s="817"/>
      <c r="F123" s="351"/>
      <c r="G123" s="344"/>
      <c r="L123" s="816"/>
      <c r="M123" s="350"/>
      <c r="N123" s="350"/>
      <c r="O123" s="350"/>
      <c r="P123" s="350"/>
      <c r="Q123" s="350"/>
      <c r="R123" s="350"/>
      <c r="S123" s="352"/>
      <c r="T123" s="350"/>
      <c r="U123" s="350"/>
      <c r="V123" s="350"/>
      <c r="W123" s="352"/>
      <c r="X123" s="350"/>
      <c r="Y123" s="350"/>
      <c r="Z123" s="350"/>
      <c r="AA123" s="350"/>
      <c r="AB123" s="350"/>
      <c r="AC123" s="350"/>
      <c r="AD123" s="350"/>
      <c r="AE123" s="350"/>
      <c r="AF123" s="350"/>
      <c r="AG123" s="350"/>
      <c r="AH123" s="350"/>
      <c r="AI123" s="350"/>
    </row>
    <row r="124" spans="2:37">
      <c r="B124" s="817"/>
      <c r="F124" s="351"/>
      <c r="G124" s="344"/>
      <c r="L124" s="820"/>
      <c r="M124" s="350"/>
      <c r="N124" s="354"/>
      <c r="O124" s="354"/>
      <c r="P124" s="354"/>
      <c r="Q124" s="354"/>
      <c r="R124" s="354"/>
      <c r="S124" s="352"/>
      <c r="T124" s="354"/>
      <c r="U124" s="354"/>
      <c r="V124" s="354"/>
      <c r="W124" s="352"/>
      <c r="X124" s="354"/>
      <c r="Y124" s="354"/>
      <c r="Z124" s="354"/>
      <c r="AA124" s="350"/>
      <c r="AB124" s="350"/>
      <c r="AC124" s="350"/>
      <c r="AD124" s="350"/>
      <c r="AE124" s="350"/>
      <c r="AF124" s="354"/>
      <c r="AG124" s="350"/>
      <c r="AH124" s="350"/>
      <c r="AI124" s="350"/>
    </row>
    <row r="125" spans="2:37">
      <c r="B125" s="355" t="s">
        <v>170</v>
      </c>
      <c r="F125" s="351"/>
      <c r="G125" s="344"/>
      <c r="L125" s="350">
        <f>SUM(L17:L122)</f>
        <v>3047535.7800000003</v>
      </c>
      <c r="M125" s="350"/>
      <c r="N125" s="350">
        <f>SUM(N17:N122)</f>
        <v>3047535.7800000003</v>
      </c>
      <c r="O125" s="350">
        <f>SUM(O17:O122)</f>
        <v>25487.852928571421</v>
      </c>
      <c r="P125" s="350">
        <f>SUM(P17:P122)</f>
        <v>139129.80466666669</v>
      </c>
      <c r="Q125" s="350">
        <f>SUM(Q17:Q122)</f>
        <v>0</v>
      </c>
      <c r="R125" s="350">
        <f>SUM(R17:R122)</f>
        <v>139129.80466666669</v>
      </c>
      <c r="S125" s="350"/>
      <c r="T125" s="350">
        <f>SUM(T17:T122)</f>
        <v>77066.918057588249</v>
      </c>
      <c r="U125" s="350">
        <f>SUM(U17:U122)</f>
        <v>2366712.4553333335</v>
      </c>
      <c r="V125" s="350">
        <f>SUM(V17:V122)</f>
        <v>1293166.4518473221</v>
      </c>
      <c r="W125" s="350"/>
      <c r="X125" s="350">
        <f>SUM(X17:X122)</f>
        <v>1293166.4518473221</v>
      </c>
      <c r="Y125" s="350">
        <f>SUM(Y17:Y122)</f>
        <v>1370233.3699049104</v>
      </c>
      <c r="Z125" s="350">
        <f>SUM(Z17:Z122)</f>
        <v>300055.40666275646</v>
      </c>
      <c r="AA125" s="350"/>
      <c r="AB125" s="350"/>
      <c r="AC125" s="350"/>
      <c r="AD125" s="350"/>
      <c r="AE125" s="350"/>
      <c r="AF125" s="350">
        <f>SUM(AF17:AF122)</f>
        <v>1415780.462461127</v>
      </c>
    </row>
    <row r="126" spans="2:37">
      <c r="F126" s="351"/>
      <c r="G126" s="344"/>
      <c r="L126" s="350"/>
      <c r="M126" s="350"/>
      <c r="N126" s="350"/>
      <c r="O126" s="350"/>
      <c r="P126" s="350"/>
      <c r="Q126" s="350"/>
      <c r="R126" s="350"/>
      <c r="S126" s="352"/>
      <c r="T126" s="350"/>
      <c r="U126" s="350"/>
      <c r="V126" s="350"/>
      <c r="W126" s="352"/>
      <c r="X126" s="350"/>
      <c r="Y126" s="350"/>
      <c r="Z126" s="350"/>
      <c r="AA126" s="350"/>
      <c r="AB126" s="350"/>
      <c r="AC126" s="350"/>
      <c r="AD126" s="350"/>
      <c r="AE126" s="350"/>
      <c r="AF126" s="350"/>
    </row>
    <row r="127" spans="2:37" ht="16.5" thickBot="1">
      <c r="B127" s="291" t="s">
        <v>1174</v>
      </c>
      <c r="K127" s="356" t="s">
        <v>204</v>
      </c>
      <c r="L127" s="357">
        <f>SUM(L125:L126)</f>
        <v>3047535.7800000003</v>
      </c>
      <c r="M127" s="350"/>
      <c r="N127" s="357">
        <f>SUM(N125:N126)</f>
        <v>3047535.7800000003</v>
      </c>
      <c r="O127" s="357">
        <f>SUM(O125:O126)</f>
        <v>25487.852928571421</v>
      </c>
      <c r="P127" s="357">
        <f>SUM(P125:P126)</f>
        <v>139129.80466666669</v>
      </c>
      <c r="Q127" s="357">
        <f>SUM(Q125:Q126)</f>
        <v>0</v>
      </c>
      <c r="R127" s="357">
        <f>SUM(R125:R126)</f>
        <v>139129.80466666669</v>
      </c>
      <c r="S127" s="358"/>
      <c r="T127" s="357">
        <f>SUM(T125:T126)</f>
        <v>77066.918057588249</v>
      </c>
      <c r="U127" s="357">
        <f>SUM(U125:U126)</f>
        <v>2366712.4553333335</v>
      </c>
      <c r="V127" s="357">
        <f>SUM(V125:V126)</f>
        <v>1293166.4518473221</v>
      </c>
      <c r="W127" s="358"/>
      <c r="X127" s="357">
        <f>SUM(X125:X126)</f>
        <v>1293166.4518473221</v>
      </c>
      <c r="Y127" s="357">
        <f>SUM(Y125:Y126)</f>
        <v>1370233.3699049104</v>
      </c>
      <c r="Z127" s="357">
        <f>SUM(Z125:Z126)</f>
        <v>300055.40666275646</v>
      </c>
      <c r="AA127" s="350"/>
      <c r="AB127" s="350"/>
      <c r="AC127" s="350"/>
      <c r="AD127" s="350"/>
      <c r="AE127" s="350"/>
      <c r="AF127" s="655">
        <f>SUM(AF125:AF126)</f>
        <v>1415780.462461127</v>
      </c>
      <c r="AG127" s="358"/>
      <c r="AH127" s="358"/>
      <c r="AI127" s="358"/>
      <c r="AJ127" s="358"/>
      <c r="AK127" s="358"/>
    </row>
    <row r="128" spans="2:37" ht="16.5" thickTop="1">
      <c r="B128" s="817"/>
      <c r="F128" s="351"/>
      <c r="G128" s="344"/>
      <c r="L128" s="816"/>
      <c r="M128" s="350"/>
      <c r="N128" s="350"/>
      <c r="O128" s="350"/>
      <c r="P128" s="350"/>
      <c r="Q128" s="350"/>
      <c r="R128" s="350"/>
      <c r="S128" s="352"/>
      <c r="T128" s="350"/>
      <c r="U128" s="350"/>
      <c r="V128" s="350"/>
      <c r="W128" s="352"/>
      <c r="X128" s="350"/>
      <c r="Y128" s="350"/>
      <c r="Z128" s="350"/>
      <c r="AA128" s="350"/>
      <c r="AB128" s="350"/>
      <c r="AC128" s="350"/>
      <c r="AD128" s="350"/>
      <c r="AE128" s="350"/>
      <c r="AF128" s="350"/>
      <c r="AG128" s="350"/>
      <c r="AH128" s="350"/>
      <c r="AI128" s="350"/>
    </row>
    <row r="129" spans="2:35">
      <c r="B129" s="291" t="s">
        <v>1175</v>
      </c>
      <c r="F129" s="351"/>
      <c r="G129" s="344"/>
      <c r="L129" s="816"/>
      <c r="M129" s="350"/>
      <c r="N129" s="350"/>
      <c r="O129" s="350"/>
      <c r="P129" s="350"/>
      <c r="Q129" s="350"/>
      <c r="R129" s="350"/>
      <c r="S129" s="352"/>
      <c r="T129" s="350"/>
      <c r="U129" s="350"/>
      <c r="V129" s="350"/>
      <c r="W129" s="352"/>
      <c r="X129" s="350"/>
      <c r="Y129" s="350"/>
      <c r="Z129" s="350"/>
      <c r="AA129" s="350"/>
      <c r="AB129" s="350"/>
      <c r="AC129" s="350"/>
      <c r="AD129" s="350"/>
      <c r="AE129" s="350"/>
      <c r="AF129" s="350"/>
      <c r="AG129" s="350"/>
      <c r="AH129" s="350"/>
      <c r="AI129" s="350"/>
    </row>
    <row r="130" spans="2:35">
      <c r="B130" s="289" t="s">
        <v>641</v>
      </c>
      <c r="C130" s="289">
        <v>2007</v>
      </c>
      <c r="D130" s="289">
        <f t="shared" ref="D130" si="80">+C130-1900</f>
        <v>107</v>
      </c>
      <c r="E130" s="289">
        <v>9</v>
      </c>
      <c r="F130" s="351">
        <v>0</v>
      </c>
      <c r="G130" s="344" t="s">
        <v>169</v>
      </c>
      <c r="H130" s="289">
        <v>7</v>
      </c>
      <c r="I130" s="289">
        <f t="shared" ref="I130" si="81">D130+H130</f>
        <v>114</v>
      </c>
      <c r="L130" s="350">
        <v>78385</v>
      </c>
      <c r="M130" s="350">
        <v>0</v>
      </c>
      <c r="N130" s="350">
        <f t="shared" ref="N130" si="82">L130-(+L130*F130)</f>
        <v>78385</v>
      </c>
      <c r="O130" s="350">
        <f t="shared" ref="O130" si="83">N130/H130/12</f>
        <v>933.15476190476193</v>
      </c>
      <c r="P130" s="350">
        <f t="shared" ref="P130" si="84">IF(Q130&gt;0,0,IF(OR(AA130&gt;AB130,AC130&lt;AD130),0,IF(AND(AC130&gt;=AD130,AC130&lt;=AB130),O130*((AC130-AD130)*12),IF(AND(AD130&lt;=AA130,AB130&gt;=AA130),((AB130-AA130)*12)*O130,IF(AC130&gt;AB130,12*O130,0)))))</f>
        <v>0</v>
      </c>
      <c r="Q130" s="350">
        <f t="shared" ref="Q130" si="85">IF(M130=0,0,IF(AND(AE130&gt;=AD130,AE130&lt;=AC130),((AE130-AD130)*12)*O130,0))</f>
        <v>0</v>
      </c>
      <c r="R130" s="350">
        <f t="shared" ref="R130" si="86">IF(Q130&gt;0,Q130,P130)</f>
        <v>0</v>
      </c>
      <c r="S130" s="352">
        <f>+'WP-11 - Non-Regulated'!$K$40-10%</f>
        <v>0.45392098222396382</v>
      </c>
      <c r="T130" s="350">
        <f t="shared" ref="T130" si="87">S130*SUM(P130:Q130)</f>
        <v>0</v>
      </c>
      <c r="U130" s="350">
        <f t="shared" ref="U130" si="88">IF(AA130&gt;AB130,0,IF(AC130&lt;AD130,N130,IF(AND(AC130&gt;=AD130,AC130&lt;=AB130),(N130-R130),IF(AND(AD130&lt;=AA130,AB130&gt;=AA130),0,IF(AC130&gt;AB130,((AD130-AA130)*12)*O130,0)))))</f>
        <v>78385</v>
      </c>
      <c r="V130" s="350">
        <f t="shared" ref="V130" si="89">U130*S130</f>
        <v>35580.596191625402</v>
      </c>
      <c r="W130" s="352">
        <v>1</v>
      </c>
      <c r="X130" s="350">
        <f t="shared" ref="X130" si="90">V130*W130</f>
        <v>35580.596191625402</v>
      </c>
      <c r="Y130" s="350">
        <f t="shared" ref="Y130" si="91">IF(M130&gt;0,0,X130+T130*W130)*W130</f>
        <v>35580.596191625402</v>
      </c>
      <c r="Z130" s="350">
        <f t="shared" ref="Z130:Z146" si="92">IF((N130-((AB130-AA130)*12*O130))&lt;0,0,(N130-((AB130-AA130)*12*(O130)))*S130)</f>
        <v>0</v>
      </c>
      <c r="AA130" s="350">
        <f t="shared" ref="AA130" si="93">$D130+(($E130-1)/12)</f>
        <v>107.66666666666667</v>
      </c>
      <c r="AB130" s="350">
        <f t="shared" si="19"/>
        <v>124</v>
      </c>
      <c r="AC130" s="350">
        <f t="shared" ref="AC130" si="94">$I130+(($E130-1)/12)</f>
        <v>114.66666666666667</v>
      </c>
      <c r="AD130" s="350">
        <f t="shared" si="20"/>
        <v>123</v>
      </c>
      <c r="AE130" s="350">
        <f t="shared" ref="AE130" si="95">$J130+(($K130-1)/12)</f>
        <v>-8.3333333333333329E-2</v>
      </c>
      <c r="AF130" s="350">
        <f t="shared" ref="AF130" si="96">L130-((X130+Y130)/2)-Z130</f>
        <v>42804.403808374598</v>
      </c>
    </row>
    <row r="131" spans="2:35">
      <c r="B131" s="289" t="s">
        <v>641</v>
      </c>
      <c r="C131" s="289">
        <v>2008</v>
      </c>
      <c r="D131" s="289">
        <f t="shared" ref="D131:D147" si="97">+C131-1900</f>
        <v>108</v>
      </c>
      <c r="E131" s="289">
        <v>1</v>
      </c>
      <c r="F131" s="351">
        <v>0</v>
      </c>
      <c r="G131" s="344" t="s">
        <v>169</v>
      </c>
      <c r="H131" s="289">
        <v>7</v>
      </c>
      <c r="I131" s="289">
        <f t="shared" ref="I131:I147" si="98">D131+H131</f>
        <v>115</v>
      </c>
      <c r="L131" s="350">
        <v>78385</v>
      </c>
      <c r="M131" s="350">
        <v>0</v>
      </c>
      <c r="N131" s="350">
        <f t="shared" ref="N131:N139" si="99">L131-(+L131*F131)</f>
        <v>78385</v>
      </c>
      <c r="O131" s="350">
        <f t="shared" ref="O131:O139" si="100">N131/H131/12</f>
        <v>933.15476190476193</v>
      </c>
      <c r="P131" s="350">
        <f t="shared" ref="P131:P139" si="101">IF(Q131&gt;0,0,IF(OR(AA131&gt;AB131,AC131&lt;AD131),0,IF(AND(AC131&gt;=AD131,AC131&lt;=AB131),O131*((AC131-AD131)*12),IF(AND(AD131&lt;=AA131,AB131&gt;=AA131),((AB131-AA131)*12)*O131,IF(AC131&gt;AB131,12*O131,0)))))</f>
        <v>0</v>
      </c>
      <c r="Q131" s="350">
        <f t="shared" ref="Q131:Q139" si="102">IF(M131=0,0,IF(AND(AE131&gt;=AD131,AE131&lt;=AC131),((AE131-AD131)*12)*O131,0))</f>
        <v>0</v>
      </c>
      <c r="R131" s="350">
        <f t="shared" ref="R131:R139" si="103">IF(Q131&gt;0,Q131,P131)</f>
        <v>0</v>
      </c>
      <c r="S131" s="352">
        <f>+'WP-11 - Non-Regulated'!$K$40-10%</f>
        <v>0.45392098222396382</v>
      </c>
      <c r="T131" s="350">
        <f t="shared" ref="T131:T139" si="104">S131*SUM(P131:Q131)</f>
        <v>0</v>
      </c>
      <c r="U131" s="350">
        <f t="shared" ref="U131:U139" si="105">IF(AA131&gt;AB131,0,IF(AC131&lt;AD131,N131,IF(AND(AC131&gt;=AD131,AC131&lt;=AB131),(N131-R131),IF(AND(AD131&lt;=AA131,AB131&gt;=AA131),0,IF(AC131&gt;AB131,((AD131-AA131)*12)*O131,0)))))</f>
        <v>78385</v>
      </c>
      <c r="V131" s="350">
        <f t="shared" ref="V131:V139" si="106">U131*S131</f>
        <v>35580.596191625402</v>
      </c>
      <c r="W131" s="352">
        <v>1</v>
      </c>
      <c r="X131" s="350">
        <f t="shared" ref="X131:X139" si="107">V131*W131</f>
        <v>35580.596191625402</v>
      </c>
      <c r="Y131" s="350">
        <f t="shared" ref="Y131:Y139" si="108">IF(M131&gt;0,0,X131+T131*W131)*W131</f>
        <v>35580.596191625402</v>
      </c>
      <c r="Z131" s="350">
        <f t="shared" si="92"/>
        <v>0</v>
      </c>
      <c r="AA131" s="350">
        <f t="shared" ref="AA131:AA139" si="109">$D131+(($E131-1)/12)</f>
        <v>108</v>
      </c>
      <c r="AB131" s="350">
        <f t="shared" si="19"/>
        <v>124</v>
      </c>
      <c r="AC131" s="350">
        <f t="shared" ref="AC131:AC139" si="110">$I131+(($E131-1)/12)</f>
        <v>115</v>
      </c>
      <c r="AD131" s="350">
        <f t="shared" si="20"/>
        <v>123</v>
      </c>
      <c r="AE131" s="350">
        <f t="shared" ref="AE131:AE139" si="111">$J131+(($K131-1)/12)</f>
        <v>-8.3333333333333329E-2</v>
      </c>
      <c r="AF131" s="350">
        <f>L131-((X131+Y131)/2)-Z131</f>
        <v>42804.403808374598</v>
      </c>
    </row>
    <row r="132" spans="2:35">
      <c r="B132" s="353" t="s">
        <v>679</v>
      </c>
      <c r="C132" s="289">
        <v>2015</v>
      </c>
      <c r="D132" s="289">
        <f t="shared" si="97"/>
        <v>115</v>
      </c>
      <c r="E132" s="289">
        <v>11</v>
      </c>
      <c r="F132" s="351">
        <v>0</v>
      </c>
      <c r="G132" s="344" t="s">
        <v>169</v>
      </c>
      <c r="H132" s="289">
        <v>7</v>
      </c>
      <c r="I132" s="289">
        <f t="shared" si="98"/>
        <v>122</v>
      </c>
      <c r="L132" s="350">
        <v>100315</v>
      </c>
      <c r="M132" s="350">
        <v>0</v>
      </c>
      <c r="N132" s="350">
        <f t="shared" si="99"/>
        <v>100315</v>
      </c>
      <c r="O132" s="350">
        <f t="shared" si="100"/>
        <v>1194.2261904761906</v>
      </c>
      <c r="P132" s="350">
        <f t="shared" si="101"/>
        <v>0</v>
      </c>
      <c r="Q132" s="350">
        <f t="shared" si="102"/>
        <v>0</v>
      </c>
      <c r="R132" s="350">
        <f t="shared" si="103"/>
        <v>0</v>
      </c>
      <c r="S132" s="352">
        <f>+'WP-11 - Non-Regulated'!$K$40-10%</f>
        <v>0.45392098222396382</v>
      </c>
      <c r="T132" s="350">
        <f t="shared" si="104"/>
        <v>0</v>
      </c>
      <c r="U132" s="350">
        <f t="shared" si="105"/>
        <v>100315</v>
      </c>
      <c r="V132" s="350">
        <f t="shared" si="106"/>
        <v>45535.08333179693</v>
      </c>
      <c r="W132" s="352">
        <v>1</v>
      </c>
      <c r="X132" s="350">
        <f t="shared" si="107"/>
        <v>45535.08333179693</v>
      </c>
      <c r="Y132" s="350">
        <f t="shared" si="108"/>
        <v>45535.08333179693</v>
      </c>
      <c r="Z132" s="350">
        <f t="shared" si="92"/>
        <v>0</v>
      </c>
      <c r="AA132" s="350">
        <f t="shared" si="109"/>
        <v>115.83333333333333</v>
      </c>
      <c r="AB132" s="350">
        <f t="shared" si="19"/>
        <v>124</v>
      </c>
      <c r="AC132" s="350">
        <f t="shared" si="110"/>
        <v>122.83333333333333</v>
      </c>
      <c r="AD132" s="350">
        <f t="shared" si="20"/>
        <v>123</v>
      </c>
      <c r="AE132" s="350">
        <f t="shared" si="111"/>
        <v>-8.3333333333333329E-2</v>
      </c>
      <c r="AF132" s="350"/>
    </row>
    <row r="133" spans="2:35">
      <c r="B133" s="353" t="s">
        <v>679</v>
      </c>
      <c r="C133" s="289">
        <v>2015</v>
      </c>
      <c r="D133" s="289">
        <f t="shared" si="97"/>
        <v>115</v>
      </c>
      <c r="E133" s="289">
        <v>11</v>
      </c>
      <c r="F133" s="351">
        <v>0</v>
      </c>
      <c r="G133" s="344" t="s">
        <v>169</v>
      </c>
      <c r="H133" s="289">
        <v>7</v>
      </c>
      <c r="I133" s="289">
        <f t="shared" si="98"/>
        <v>122</v>
      </c>
      <c r="L133" s="350">
        <v>100315</v>
      </c>
      <c r="M133" s="350">
        <v>0</v>
      </c>
      <c r="N133" s="350">
        <f t="shared" si="99"/>
        <v>100315</v>
      </c>
      <c r="O133" s="350">
        <f t="shared" si="100"/>
        <v>1194.2261904761906</v>
      </c>
      <c r="P133" s="350">
        <f t="shared" si="101"/>
        <v>0</v>
      </c>
      <c r="Q133" s="350">
        <f t="shared" si="102"/>
        <v>0</v>
      </c>
      <c r="R133" s="350">
        <f t="shared" si="103"/>
        <v>0</v>
      </c>
      <c r="S133" s="352">
        <f>+'WP-11 - Non-Regulated'!$K$40-10%</f>
        <v>0.45392098222396382</v>
      </c>
      <c r="T133" s="350">
        <f t="shared" si="104"/>
        <v>0</v>
      </c>
      <c r="U133" s="350">
        <f t="shared" si="105"/>
        <v>100315</v>
      </c>
      <c r="V133" s="350">
        <f t="shared" si="106"/>
        <v>45535.08333179693</v>
      </c>
      <c r="W133" s="352">
        <v>1</v>
      </c>
      <c r="X133" s="350">
        <f t="shared" si="107"/>
        <v>45535.08333179693</v>
      </c>
      <c r="Y133" s="350">
        <f t="shared" si="108"/>
        <v>45535.08333179693</v>
      </c>
      <c r="Z133" s="350">
        <f t="shared" si="92"/>
        <v>0</v>
      </c>
      <c r="AA133" s="350">
        <f t="shared" si="109"/>
        <v>115.83333333333333</v>
      </c>
      <c r="AB133" s="350">
        <f t="shared" si="19"/>
        <v>124</v>
      </c>
      <c r="AC133" s="350">
        <f t="shared" si="110"/>
        <v>122.83333333333333</v>
      </c>
      <c r="AD133" s="350">
        <f t="shared" si="20"/>
        <v>123</v>
      </c>
      <c r="AE133" s="350">
        <f t="shared" si="111"/>
        <v>-8.3333333333333329E-2</v>
      </c>
      <c r="AF133" s="350"/>
    </row>
    <row r="134" spans="2:35">
      <c r="B134" s="353" t="s">
        <v>656</v>
      </c>
      <c r="C134" s="289">
        <v>2019</v>
      </c>
      <c r="D134" s="289">
        <f t="shared" si="97"/>
        <v>119</v>
      </c>
      <c r="E134" s="289">
        <v>9</v>
      </c>
      <c r="F134" s="351">
        <v>0</v>
      </c>
      <c r="G134" s="344" t="s">
        <v>169</v>
      </c>
      <c r="H134" s="289">
        <v>40</v>
      </c>
      <c r="I134" s="289">
        <f t="shared" si="98"/>
        <v>159</v>
      </c>
      <c r="L134" s="350">
        <v>492188</v>
      </c>
      <c r="M134" s="350">
        <v>0</v>
      </c>
      <c r="N134" s="350">
        <f t="shared" si="99"/>
        <v>492188</v>
      </c>
      <c r="O134" s="350">
        <f t="shared" si="100"/>
        <v>1025.3916666666667</v>
      </c>
      <c r="P134" s="350">
        <f t="shared" si="101"/>
        <v>12304.7</v>
      </c>
      <c r="Q134" s="350">
        <f t="shared" si="102"/>
        <v>0</v>
      </c>
      <c r="R134" s="350">
        <f t="shared" si="103"/>
        <v>12304.7</v>
      </c>
      <c r="S134" s="352">
        <f>75%*'WP-11 - Non-Regulated'!$K$40</f>
        <v>0.41544073666797288</v>
      </c>
      <c r="T134" s="350">
        <f t="shared" si="104"/>
        <v>5111.8736324784059</v>
      </c>
      <c r="U134" s="350">
        <f t="shared" si="105"/>
        <v>41015.666666666606</v>
      </c>
      <c r="V134" s="350">
        <f t="shared" si="106"/>
        <v>17039.578774927995</v>
      </c>
      <c r="W134" s="352">
        <v>1</v>
      </c>
      <c r="X134" s="350">
        <f t="shared" si="107"/>
        <v>17039.578774927995</v>
      </c>
      <c r="Y134" s="350">
        <f t="shared" si="108"/>
        <v>22151.452407406403</v>
      </c>
      <c r="Z134" s="350">
        <f t="shared" si="92"/>
        <v>182323.49289172984</v>
      </c>
      <c r="AA134" s="350">
        <f t="shared" si="109"/>
        <v>119.66666666666667</v>
      </c>
      <c r="AB134" s="350">
        <f t="shared" ref="AB134:AB384" si="112">($B$10+1)-($B$7/12)</f>
        <v>124</v>
      </c>
      <c r="AC134" s="350">
        <f t="shared" si="110"/>
        <v>159.66666666666666</v>
      </c>
      <c r="AD134" s="350">
        <f t="shared" ref="AD134:AD384" si="113">$B$9+($B$8/12)</f>
        <v>123</v>
      </c>
      <c r="AE134" s="350">
        <f t="shared" si="111"/>
        <v>-8.3333333333333329E-2</v>
      </c>
      <c r="AF134" s="350">
        <f t="shared" ref="AF134:AF139" si="114">L134-((X134+Y134)/2)-Z134</f>
        <v>290268.99151710293</v>
      </c>
      <c r="AG134" s="350"/>
      <c r="AH134" s="350"/>
      <c r="AI134" s="350"/>
    </row>
    <row r="135" spans="2:35">
      <c r="B135" s="353" t="s">
        <v>677</v>
      </c>
      <c r="C135" s="289">
        <v>2020</v>
      </c>
      <c r="D135" s="289">
        <f t="shared" si="97"/>
        <v>120</v>
      </c>
      <c r="E135" s="289">
        <v>1</v>
      </c>
      <c r="F135" s="351">
        <v>0</v>
      </c>
      <c r="G135" s="344" t="s">
        <v>169</v>
      </c>
      <c r="H135" s="289">
        <v>40</v>
      </c>
      <c r="I135" s="289">
        <f t="shared" si="98"/>
        <v>160</v>
      </c>
      <c r="L135" s="576">
        <v>55058.99</v>
      </c>
      <c r="M135" s="350">
        <v>0</v>
      </c>
      <c r="N135" s="350">
        <f t="shared" si="99"/>
        <v>55058.99</v>
      </c>
      <c r="O135" s="350">
        <f t="shared" si="100"/>
        <v>114.70622916666666</v>
      </c>
      <c r="P135" s="350">
        <f t="shared" si="101"/>
        <v>1376.4747499999999</v>
      </c>
      <c r="Q135" s="350">
        <f t="shared" si="102"/>
        <v>0</v>
      </c>
      <c r="R135" s="350">
        <f t="shared" si="103"/>
        <v>1376.4747499999999</v>
      </c>
      <c r="S135" s="352">
        <f>+S134</f>
        <v>0.41544073666797288</v>
      </c>
      <c r="T135" s="350">
        <f t="shared" si="104"/>
        <v>571.84368414486369</v>
      </c>
      <c r="U135" s="350">
        <f t="shared" si="105"/>
        <v>4129.42425</v>
      </c>
      <c r="V135" s="350">
        <f t="shared" si="106"/>
        <v>1715.5310524345914</v>
      </c>
      <c r="W135" s="352">
        <v>1</v>
      </c>
      <c r="X135" s="350">
        <f t="shared" si="107"/>
        <v>1715.5310524345914</v>
      </c>
      <c r="Y135" s="350">
        <f t="shared" si="108"/>
        <v>2287.3747365794552</v>
      </c>
      <c r="Z135" s="350">
        <f t="shared" si="92"/>
        <v>20586.372629215097</v>
      </c>
      <c r="AA135" s="350">
        <f t="shared" si="109"/>
        <v>120</v>
      </c>
      <c r="AB135" s="350">
        <f t="shared" ref="AB135:AB226" si="115">($B$10+1)-($B$7/12)</f>
        <v>124</v>
      </c>
      <c r="AC135" s="350">
        <f t="shared" si="110"/>
        <v>160</v>
      </c>
      <c r="AD135" s="350">
        <f t="shared" ref="AD135:AD226" si="116">$B$9+($B$8/12)</f>
        <v>123</v>
      </c>
      <c r="AE135" s="350">
        <f t="shared" si="111"/>
        <v>-8.3333333333333329E-2</v>
      </c>
      <c r="AF135" s="350">
        <f t="shared" si="114"/>
        <v>32471.164476277874</v>
      </c>
      <c r="AG135" s="350"/>
      <c r="AH135" s="350"/>
      <c r="AI135" s="350"/>
    </row>
    <row r="136" spans="2:35">
      <c r="B136" s="353" t="s">
        <v>677</v>
      </c>
      <c r="C136" s="289">
        <v>2020</v>
      </c>
      <c r="D136" s="289">
        <f t="shared" si="97"/>
        <v>120</v>
      </c>
      <c r="E136" s="289">
        <v>5</v>
      </c>
      <c r="F136" s="351">
        <v>0</v>
      </c>
      <c r="G136" s="344" t="s">
        <v>169</v>
      </c>
      <c r="H136" s="289">
        <v>40</v>
      </c>
      <c r="I136" s="289">
        <f t="shared" si="98"/>
        <v>160</v>
      </c>
      <c r="L136" s="576">
        <v>7103.2</v>
      </c>
      <c r="M136" s="350">
        <v>0</v>
      </c>
      <c r="N136" s="350">
        <f t="shared" si="99"/>
        <v>7103.2</v>
      </c>
      <c r="O136" s="350">
        <f t="shared" si="100"/>
        <v>14.798333333333332</v>
      </c>
      <c r="P136" s="350">
        <f t="shared" si="101"/>
        <v>177.57999999999998</v>
      </c>
      <c r="Q136" s="350">
        <f t="shared" si="102"/>
        <v>0</v>
      </c>
      <c r="R136" s="350">
        <f t="shared" si="103"/>
        <v>177.57999999999998</v>
      </c>
      <c r="S136" s="352">
        <f>+S134</f>
        <v>0.41544073666797288</v>
      </c>
      <c r="T136" s="350">
        <f t="shared" si="104"/>
        <v>73.773966017498623</v>
      </c>
      <c r="U136" s="350">
        <f t="shared" si="105"/>
        <v>473.54666666666748</v>
      </c>
      <c r="V136" s="350">
        <f t="shared" si="106"/>
        <v>196.73057604666334</v>
      </c>
      <c r="W136" s="352">
        <v>1</v>
      </c>
      <c r="X136" s="350">
        <f t="shared" si="107"/>
        <v>196.73057604666334</v>
      </c>
      <c r="Y136" s="350">
        <f t="shared" si="108"/>
        <v>270.50454206416197</v>
      </c>
      <c r="Z136" s="350">
        <f t="shared" si="92"/>
        <v>2680.4540986357829</v>
      </c>
      <c r="AA136" s="350">
        <f t="shared" si="109"/>
        <v>120.33333333333333</v>
      </c>
      <c r="AB136" s="350">
        <f t="shared" si="115"/>
        <v>124</v>
      </c>
      <c r="AC136" s="350">
        <f t="shared" si="110"/>
        <v>160.33333333333334</v>
      </c>
      <c r="AD136" s="350">
        <f t="shared" si="116"/>
        <v>123</v>
      </c>
      <c r="AE136" s="350">
        <f t="shared" si="111"/>
        <v>-8.3333333333333329E-2</v>
      </c>
      <c r="AF136" s="350">
        <f t="shared" si="114"/>
        <v>4189.1283423088043</v>
      </c>
      <c r="AG136" s="350"/>
      <c r="AH136" s="350"/>
      <c r="AI136" s="350"/>
    </row>
    <row r="137" spans="2:35">
      <c r="B137" s="353" t="s">
        <v>656</v>
      </c>
      <c r="C137" s="289">
        <v>2019</v>
      </c>
      <c r="D137" s="289">
        <f t="shared" si="97"/>
        <v>119</v>
      </c>
      <c r="E137" s="289">
        <v>9</v>
      </c>
      <c r="F137" s="351">
        <v>0</v>
      </c>
      <c r="G137" s="344" t="s">
        <v>169</v>
      </c>
      <c r="H137" s="289">
        <v>40</v>
      </c>
      <c r="I137" s="289">
        <f t="shared" si="98"/>
        <v>159</v>
      </c>
      <c r="L137" s="350">
        <v>2240741.58</v>
      </c>
      <c r="M137" s="350">
        <v>0</v>
      </c>
      <c r="N137" s="350">
        <f t="shared" si="99"/>
        <v>2240741.58</v>
      </c>
      <c r="O137" s="350">
        <f t="shared" si="100"/>
        <v>4668.2116249999999</v>
      </c>
      <c r="P137" s="350">
        <f t="shared" si="101"/>
        <v>56018.539499999999</v>
      </c>
      <c r="Q137" s="350">
        <f t="shared" si="102"/>
        <v>0</v>
      </c>
      <c r="R137" s="350">
        <f t="shared" si="103"/>
        <v>56018.539499999999</v>
      </c>
      <c r="S137" s="352">
        <f>+S134</f>
        <v>0.41544073666797288</v>
      </c>
      <c r="T137" s="350">
        <f t="shared" si="104"/>
        <v>23272.383316943935</v>
      </c>
      <c r="U137" s="350">
        <f t="shared" si="105"/>
        <v>186728.46499999973</v>
      </c>
      <c r="V137" s="350">
        <f t="shared" si="106"/>
        <v>77574.611056479684</v>
      </c>
      <c r="W137" s="352">
        <v>1</v>
      </c>
      <c r="X137" s="350">
        <f t="shared" si="107"/>
        <v>77574.611056479684</v>
      </c>
      <c r="Y137" s="350">
        <f t="shared" si="108"/>
        <v>100846.99437342361</v>
      </c>
      <c r="Z137" s="350">
        <f t="shared" si="92"/>
        <v>830048.33830433385</v>
      </c>
      <c r="AA137" s="350">
        <f t="shared" si="109"/>
        <v>119.66666666666667</v>
      </c>
      <c r="AB137" s="350">
        <f t="shared" si="112"/>
        <v>124</v>
      </c>
      <c r="AC137" s="350">
        <f t="shared" si="110"/>
        <v>159.66666666666666</v>
      </c>
      <c r="AD137" s="350">
        <f t="shared" si="113"/>
        <v>123</v>
      </c>
      <c r="AE137" s="350">
        <f t="shared" si="111"/>
        <v>-8.3333333333333329E-2</v>
      </c>
      <c r="AF137" s="350">
        <f t="shared" si="114"/>
        <v>1321482.4389807144</v>
      </c>
      <c r="AG137" s="350"/>
      <c r="AH137" s="350"/>
      <c r="AI137" s="350"/>
    </row>
    <row r="138" spans="2:35">
      <c r="B138" s="353" t="s">
        <v>677</v>
      </c>
      <c r="C138" s="289">
        <v>2022</v>
      </c>
      <c r="D138" s="289">
        <f t="shared" si="97"/>
        <v>122</v>
      </c>
      <c r="E138" s="289">
        <v>12</v>
      </c>
      <c r="F138" s="351">
        <v>0</v>
      </c>
      <c r="G138" s="344" t="s">
        <v>169</v>
      </c>
      <c r="H138" s="289">
        <v>40</v>
      </c>
      <c r="I138" s="289">
        <f t="shared" si="98"/>
        <v>162</v>
      </c>
      <c r="L138" s="816">
        <v>5361.1</v>
      </c>
      <c r="M138" s="350">
        <v>0</v>
      </c>
      <c r="N138" s="350">
        <f t="shared" si="99"/>
        <v>5361.1</v>
      </c>
      <c r="O138" s="350">
        <f t="shared" si="100"/>
        <v>11.168958333333334</v>
      </c>
      <c r="P138" s="350">
        <f t="shared" si="101"/>
        <v>134.0275</v>
      </c>
      <c r="Q138" s="350">
        <f t="shared" si="102"/>
        <v>0</v>
      </c>
      <c r="R138" s="350">
        <f t="shared" si="103"/>
        <v>134.0275</v>
      </c>
      <c r="S138" s="352">
        <f>+S134</f>
        <v>0.41544073666797288</v>
      </c>
      <c r="T138" s="350">
        <f t="shared" si="104"/>
        <v>55.680483333766738</v>
      </c>
      <c r="U138" s="350">
        <f t="shared" si="105"/>
        <v>11.1689583333327</v>
      </c>
      <c r="V138" s="350">
        <f t="shared" si="106"/>
        <v>4.6400402778136316</v>
      </c>
      <c r="W138" s="352">
        <v>1</v>
      </c>
      <c r="X138" s="350">
        <f t="shared" si="107"/>
        <v>4.6400402778136316</v>
      </c>
      <c r="Y138" s="350">
        <f t="shared" si="108"/>
        <v>60.32052361158037</v>
      </c>
      <c r="Z138" s="350">
        <f t="shared" si="92"/>
        <v>2166.8988097390893</v>
      </c>
      <c r="AA138" s="350">
        <f t="shared" si="109"/>
        <v>122.91666666666667</v>
      </c>
      <c r="AB138" s="350">
        <f t="shared" si="115"/>
        <v>124</v>
      </c>
      <c r="AC138" s="350">
        <f t="shared" si="110"/>
        <v>162.91666666666666</v>
      </c>
      <c r="AD138" s="350">
        <f t="shared" si="116"/>
        <v>123</v>
      </c>
      <c r="AE138" s="350">
        <f t="shared" si="111"/>
        <v>-8.3333333333333329E-2</v>
      </c>
      <c r="AF138" s="350">
        <f t="shared" si="114"/>
        <v>3161.7209083162143</v>
      </c>
      <c r="AG138" s="350"/>
      <c r="AH138" s="350"/>
      <c r="AI138" s="350"/>
    </row>
    <row r="139" spans="2:35">
      <c r="B139" s="353" t="s">
        <v>677</v>
      </c>
      <c r="C139" s="289">
        <v>2022</v>
      </c>
      <c r="D139" s="289">
        <f t="shared" si="97"/>
        <v>122</v>
      </c>
      <c r="E139" s="289">
        <v>12</v>
      </c>
      <c r="F139" s="351">
        <v>0</v>
      </c>
      <c r="G139" s="344" t="s">
        <v>169</v>
      </c>
      <c r="H139" s="289">
        <v>40</v>
      </c>
      <c r="I139" s="289">
        <f t="shared" si="98"/>
        <v>162</v>
      </c>
      <c r="L139" s="816">
        <v>4538.18</v>
      </c>
      <c r="M139" s="350">
        <v>0</v>
      </c>
      <c r="N139" s="350">
        <f t="shared" si="99"/>
        <v>4538.18</v>
      </c>
      <c r="O139" s="350">
        <f t="shared" si="100"/>
        <v>9.4545416666666675</v>
      </c>
      <c r="P139" s="350">
        <f t="shared" si="101"/>
        <v>113.45450000000001</v>
      </c>
      <c r="Q139" s="350">
        <f t="shared" si="102"/>
        <v>0</v>
      </c>
      <c r="R139" s="350">
        <f t="shared" si="103"/>
        <v>113.45450000000001</v>
      </c>
      <c r="S139" s="352">
        <f>+S134</f>
        <v>0.41544073666797288</v>
      </c>
      <c r="T139" s="350">
        <f t="shared" si="104"/>
        <v>47.133621058296534</v>
      </c>
      <c r="U139" s="350">
        <f t="shared" si="105"/>
        <v>9.4545416666661293</v>
      </c>
      <c r="V139" s="350">
        <f t="shared" si="106"/>
        <v>3.9278017548578208</v>
      </c>
      <c r="W139" s="352">
        <v>1</v>
      </c>
      <c r="X139" s="350">
        <f t="shared" si="107"/>
        <v>3.9278017548578208</v>
      </c>
      <c r="Y139" s="350">
        <f t="shared" si="108"/>
        <v>51.061422813154351</v>
      </c>
      <c r="Z139" s="350">
        <f t="shared" si="92"/>
        <v>1834.283419518707</v>
      </c>
      <c r="AA139" s="350">
        <f t="shared" si="109"/>
        <v>122.91666666666667</v>
      </c>
      <c r="AB139" s="350">
        <f t="shared" si="115"/>
        <v>124</v>
      </c>
      <c r="AC139" s="350">
        <f t="shared" si="110"/>
        <v>162.91666666666666</v>
      </c>
      <c r="AD139" s="350">
        <f t="shared" si="116"/>
        <v>123</v>
      </c>
      <c r="AE139" s="350">
        <f t="shared" si="111"/>
        <v>-8.3333333333333329E-2</v>
      </c>
      <c r="AF139" s="350">
        <f t="shared" si="114"/>
        <v>2676.4019681972868</v>
      </c>
      <c r="AG139" s="350"/>
      <c r="AH139" s="350"/>
      <c r="AI139" s="350"/>
    </row>
    <row r="140" spans="2:35">
      <c r="B140" s="822" t="s">
        <v>1176</v>
      </c>
      <c r="C140" s="289">
        <v>2003</v>
      </c>
      <c r="D140" s="289">
        <f t="shared" si="97"/>
        <v>103</v>
      </c>
      <c r="E140" s="289">
        <v>1</v>
      </c>
      <c r="F140" s="351">
        <v>0</v>
      </c>
      <c r="G140" s="344" t="s">
        <v>169</v>
      </c>
      <c r="H140" s="289">
        <v>7</v>
      </c>
      <c r="I140" s="289">
        <f t="shared" si="98"/>
        <v>110</v>
      </c>
      <c r="L140" s="823">
        <v>71773</v>
      </c>
      <c r="M140" s="350">
        <v>0</v>
      </c>
      <c r="N140" s="350">
        <f t="shared" ref="N140:N147" si="117">L140-(+L140*F140)</f>
        <v>71773</v>
      </c>
      <c r="O140" s="350">
        <f t="shared" ref="O140:O146" si="118">N140/H140/12</f>
        <v>854.44047619047615</v>
      </c>
      <c r="P140" s="350">
        <f t="shared" ref="P140:P146" si="119">IF(Q140&gt;0,0,IF(OR(AA140&gt;AB140,AC140&lt;AD140),0,IF(AND(AC140&gt;=AD140,AC140&lt;=AB140),O140*((AC140-AD140)*12),IF(AND(AD140&lt;=AA140,AB140&gt;=AA140),((AB140-AA140)*12)*O140,IF(AC140&gt;AB140,12*O140,0)))))</f>
        <v>0</v>
      </c>
      <c r="Q140" s="350">
        <f t="shared" ref="Q140:Q146" si="120">IF(M140=0,0,IF(AND(AE140&gt;=AD140,AE140&lt;=AC140),((AE140-AD140)*12)*O140,0))</f>
        <v>0</v>
      </c>
      <c r="R140" s="350">
        <f t="shared" ref="R140:R146" si="121">IF(Q140&gt;0,Q140,P140)</f>
        <v>0</v>
      </c>
      <c r="S140" s="352">
        <f>+S135</f>
        <v>0.41544073666797288</v>
      </c>
      <c r="T140" s="350">
        <f t="shared" ref="T140:T146" si="122">S140*SUM(P140:Q140)</f>
        <v>0</v>
      </c>
      <c r="U140" s="350">
        <f t="shared" ref="U140:U146" si="123">IF(AA140&gt;AB140,0,IF(AC140&lt;AD140,N140,IF(AND(AC140&gt;=AD140,AC140&lt;=AB140),(N140-R140),IF(AND(AD140&lt;=AA140,AB140&gt;=AA140),0,IF(AC140&gt;AB140,((AD140-AA140)*12)*O140,0)))))</f>
        <v>71773</v>
      </c>
      <c r="V140" s="350">
        <f t="shared" ref="V140:V146" si="124">U140*S140</f>
        <v>29817.427992870416</v>
      </c>
      <c r="W140" s="352">
        <v>1</v>
      </c>
      <c r="X140" s="350">
        <f t="shared" ref="X140:X146" si="125">V140*W140</f>
        <v>29817.427992870416</v>
      </c>
      <c r="Y140" s="350">
        <f t="shared" ref="Y140:Y146" si="126">IF(M140&gt;0,0,X140+T140*W140)*W140</f>
        <v>29817.427992870416</v>
      </c>
      <c r="Z140" s="350">
        <f t="shared" si="92"/>
        <v>0</v>
      </c>
      <c r="AA140" s="350">
        <f t="shared" ref="AA140:AA147" si="127">$D140+(($E140-1)/12)</f>
        <v>103</v>
      </c>
      <c r="AB140" s="350">
        <f t="shared" si="112"/>
        <v>124</v>
      </c>
      <c r="AC140" s="350">
        <f t="shared" ref="AC140:AC147" si="128">$I140+(($E140-1)/12)</f>
        <v>110</v>
      </c>
      <c r="AD140" s="350">
        <f t="shared" si="113"/>
        <v>123</v>
      </c>
      <c r="AE140" s="350">
        <f t="shared" ref="AE140:AE147" si="129">$J140+(($K140-1)/12)</f>
        <v>-8.3333333333333329E-2</v>
      </c>
      <c r="AF140" s="350">
        <f t="shared" ref="AF140:AF146" si="130">L140-((X140+Y140)/2)-Z140</f>
        <v>41955.57200712958</v>
      </c>
      <c r="AG140" s="350"/>
      <c r="AH140" s="350"/>
      <c r="AI140" s="350"/>
    </row>
    <row r="141" spans="2:35">
      <c r="B141" s="822" t="s">
        <v>1177</v>
      </c>
      <c r="C141" s="289">
        <v>2004</v>
      </c>
      <c r="D141" s="289">
        <f t="shared" si="97"/>
        <v>104</v>
      </c>
      <c r="E141" s="289">
        <v>1</v>
      </c>
      <c r="F141" s="351">
        <v>0</v>
      </c>
      <c r="G141" s="344" t="s">
        <v>169</v>
      </c>
      <c r="H141" s="289">
        <v>7</v>
      </c>
      <c r="I141" s="289">
        <f t="shared" si="98"/>
        <v>111</v>
      </c>
      <c r="L141" s="823">
        <v>5164</v>
      </c>
      <c r="M141" s="350">
        <v>0</v>
      </c>
      <c r="N141" s="350">
        <f t="shared" si="117"/>
        <v>5164</v>
      </c>
      <c r="O141" s="350">
        <f t="shared" si="118"/>
        <v>61.476190476190474</v>
      </c>
      <c r="P141" s="350">
        <f t="shared" si="119"/>
        <v>0</v>
      </c>
      <c r="Q141" s="350">
        <f t="shared" si="120"/>
        <v>0</v>
      </c>
      <c r="R141" s="350">
        <f t="shared" si="121"/>
        <v>0</v>
      </c>
      <c r="S141" s="352">
        <f>+S138</f>
        <v>0.41544073666797288</v>
      </c>
      <c r="T141" s="350">
        <f t="shared" si="122"/>
        <v>0</v>
      </c>
      <c r="U141" s="350">
        <f t="shared" si="123"/>
        <v>5164</v>
      </c>
      <c r="V141" s="350">
        <f t="shared" si="124"/>
        <v>2145.3359641534121</v>
      </c>
      <c r="W141" s="352">
        <v>1</v>
      </c>
      <c r="X141" s="350">
        <f t="shared" si="125"/>
        <v>2145.3359641534121</v>
      </c>
      <c r="Y141" s="350">
        <f t="shared" si="126"/>
        <v>2145.3359641534121</v>
      </c>
      <c r="Z141" s="350">
        <f t="shared" si="92"/>
        <v>0</v>
      </c>
      <c r="AA141" s="350">
        <f t="shared" si="127"/>
        <v>104</v>
      </c>
      <c r="AB141" s="350">
        <f t="shared" si="115"/>
        <v>124</v>
      </c>
      <c r="AC141" s="350">
        <f t="shared" si="128"/>
        <v>111</v>
      </c>
      <c r="AD141" s="350">
        <f t="shared" si="116"/>
        <v>123</v>
      </c>
      <c r="AE141" s="350">
        <f t="shared" si="129"/>
        <v>-8.3333333333333329E-2</v>
      </c>
      <c r="AF141" s="350">
        <f t="shared" si="130"/>
        <v>3018.6640358465879</v>
      </c>
      <c r="AG141" s="350"/>
      <c r="AH141" s="350"/>
      <c r="AI141" s="350"/>
    </row>
    <row r="142" spans="2:35">
      <c r="B142" s="822" t="s">
        <v>1178</v>
      </c>
      <c r="C142" s="289">
        <v>2004</v>
      </c>
      <c r="D142" s="289">
        <f t="shared" si="97"/>
        <v>104</v>
      </c>
      <c r="E142" s="289">
        <v>1</v>
      </c>
      <c r="F142" s="351">
        <v>0</v>
      </c>
      <c r="G142" s="344" t="s">
        <v>169</v>
      </c>
      <c r="H142" s="289">
        <v>7</v>
      </c>
      <c r="I142" s="289">
        <f t="shared" si="98"/>
        <v>111</v>
      </c>
      <c r="L142" s="823">
        <v>130069</v>
      </c>
      <c r="M142" s="350">
        <v>0</v>
      </c>
      <c r="N142" s="350">
        <f t="shared" si="117"/>
        <v>130069</v>
      </c>
      <c r="O142" s="350">
        <f t="shared" si="118"/>
        <v>1548.4404761904761</v>
      </c>
      <c r="P142" s="350">
        <f t="shared" si="119"/>
        <v>0</v>
      </c>
      <c r="Q142" s="350">
        <f t="shared" si="120"/>
        <v>0</v>
      </c>
      <c r="R142" s="350">
        <f t="shared" si="121"/>
        <v>0</v>
      </c>
      <c r="S142" s="352">
        <f>+S135</f>
        <v>0.41544073666797288</v>
      </c>
      <c r="T142" s="350">
        <f t="shared" si="122"/>
        <v>0</v>
      </c>
      <c r="U142" s="350">
        <f t="shared" si="123"/>
        <v>130069</v>
      </c>
      <c r="V142" s="350">
        <f t="shared" si="124"/>
        <v>54035.961177666562</v>
      </c>
      <c r="W142" s="352">
        <v>1</v>
      </c>
      <c r="X142" s="350">
        <f t="shared" si="125"/>
        <v>54035.961177666562</v>
      </c>
      <c r="Y142" s="350">
        <f t="shared" si="126"/>
        <v>54035.961177666562</v>
      </c>
      <c r="Z142" s="350">
        <f t="shared" si="92"/>
        <v>0</v>
      </c>
      <c r="AA142" s="350">
        <f t="shared" si="127"/>
        <v>104</v>
      </c>
      <c r="AB142" s="350">
        <f t="shared" si="115"/>
        <v>124</v>
      </c>
      <c r="AC142" s="350">
        <f t="shared" si="128"/>
        <v>111</v>
      </c>
      <c r="AD142" s="350">
        <f t="shared" si="116"/>
        <v>123</v>
      </c>
      <c r="AE142" s="350">
        <f t="shared" si="129"/>
        <v>-8.3333333333333329E-2</v>
      </c>
      <c r="AF142" s="350">
        <f t="shared" si="130"/>
        <v>76033.038822333445</v>
      </c>
      <c r="AG142" s="350"/>
      <c r="AH142" s="350"/>
      <c r="AI142" s="350"/>
    </row>
    <row r="143" spans="2:35">
      <c r="B143" s="822" t="s">
        <v>1179</v>
      </c>
      <c r="C143" s="289">
        <v>2004</v>
      </c>
      <c r="D143" s="289">
        <f t="shared" si="97"/>
        <v>104</v>
      </c>
      <c r="E143" s="289">
        <v>1</v>
      </c>
      <c r="F143" s="351">
        <v>0</v>
      </c>
      <c r="G143" s="344" t="s">
        <v>169</v>
      </c>
      <c r="H143" s="289">
        <v>7</v>
      </c>
      <c r="I143" s="289">
        <f t="shared" si="98"/>
        <v>111</v>
      </c>
      <c r="L143" s="823">
        <v>201792</v>
      </c>
      <c r="M143" s="350">
        <v>0</v>
      </c>
      <c r="N143" s="350">
        <f t="shared" si="117"/>
        <v>201792</v>
      </c>
      <c r="O143" s="350">
        <f t="shared" si="118"/>
        <v>2402.2857142857142</v>
      </c>
      <c r="P143" s="350">
        <f t="shared" si="119"/>
        <v>0</v>
      </c>
      <c r="Q143" s="350">
        <f t="shared" si="120"/>
        <v>0</v>
      </c>
      <c r="R143" s="350">
        <f t="shared" si="121"/>
        <v>0</v>
      </c>
      <c r="S143" s="352">
        <f>+S134</f>
        <v>0.41544073666797288</v>
      </c>
      <c r="T143" s="350">
        <f t="shared" si="122"/>
        <v>0</v>
      </c>
      <c r="U143" s="350">
        <f t="shared" si="123"/>
        <v>201792</v>
      </c>
      <c r="V143" s="350">
        <f t="shared" si="124"/>
        <v>83832.617133703578</v>
      </c>
      <c r="W143" s="352">
        <v>1</v>
      </c>
      <c r="X143" s="350">
        <f t="shared" si="125"/>
        <v>83832.617133703578</v>
      </c>
      <c r="Y143" s="350">
        <f t="shared" si="126"/>
        <v>83832.617133703578</v>
      </c>
      <c r="Z143" s="350">
        <f t="shared" si="92"/>
        <v>0</v>
      </c>
      <c r="AA143" s="350">
        <f t="shared" si="127"/>
        <v>104</v>
      </c>
      <c r="AB143" s="350">
        <f t="shared" si="112"/>
        <v>124</v>
      </c>
      <c r="AC143" s="350">
        <f t="shared" si="128"/>
        <v>111</v>
      </c>
      <c r="AD143" s="350">
        <f t="shared" si="113"/>
        <v>123</v>
      </c>
      <c r="AE143" s="350">
        <f t="shared" si="129"/>
        <v>-8.3333333333333329E-2</v>
      </c>
      <c r="AF143" s="350">
        <f t="shared" si="130"/>
        <v>117959.38286629642</v>
      </c>
      <c r="AG143" s="350"/>
      <c r="AH143" s="350"/>
      <c r="AI143" s="350"/>
    </row>
    <row r="144" spans="2:35">
      <c r="B144" s="822" t="s">
        <v>1180</v>
      </c>
      <c r="C144" s="289">
        <v>2004</v>
      </c>
      <c r="D144" s="289">
        <f t="shared" si="97"/>
        <v>104</v>
      </c>
      <c r="E144" s="289">
        <v>1</v>
      </c>
      <c r="F144" s="351">
        <v>0</v>
      </c>
      <c r="G144" s="344" t="s">
        <v>169</v>
      </c>
      <c r="H144" s="289">
        <v>7</v>
      </c>
      <c r="I144" s="289">
        <f t="shared" si="98"/>
        <v>111</v>
      </c>
      <c r="L144" s="823">
        <v>8228</v>
      </c>
      <c r="M144" s="350">
        <v>0</v>
      </c>
      <c r="N144" s="350">
        <f t="shared" si="117"/>
        <v>8228</v>
      </c>
      <c r="O144" s="350">
        <f t="shared" si="118"/>
        <v>97.952380952380949</v>
      </c>
      <c r="P144" s="350">
        <f t="shared" si="119"/>
        <v>0</v>
      </c>
      <c r="Q144" s="350">
        <f t="shared" si="120"/>
        <v>0</v>
      </c>
      <c r="R144" s="350">
        <f t="shared" si="121"/>
        <v>0</v>
      </c>
      <c r="S144" s="352">
        <f>+S134</f>
        <v>0.41544073666797288</v>
      </c>
      <c r="T144" s="350">
        <f t="shared" si="122"/>
        <v>0</v>
      </c>
      <c r="U144" s="350">
        <f t="shared" si="123"/>
        <v>8228</v>
      </c>
      <c r="V144" s="350">
        <f t="shared" si="124"/>
        <v>3418.2463813040808</v>
      </c>
      <c r="W144" s="352">
        <v>1</v>
      </c>
      <c r="X144" s="350">
        <f t="shared" si="125"/>
        <v>3418.2463813040808</v>
      </c>
      <c r="Y144" s="350">
        <f t="shared" si="126"/>
        <v>3418.2463813040808</v>
      </c>
      <c r="Z144" s="350">
        <f t="shared" si="92"/>
        <v>0</v>
      </c>
      <c r="AA144" s="350">
        <f t="shared" si="127"/>
        <v>104</v>
      </c>
      <c r="AB144" s="350">
        <f t="shared" si="115"/>
        <v>124</v>
      </c>
      <c r="AC144" s="350">
        <f t="shared" si="128"/>
        <v>111</v>
      </c>
      <c r="AD144" s="350">
        <f t="shared" si="116"/>
        <v>123</v>
      </c>
      <c r="AE144" s="350">
        <f t="shared" si="129"/>
        <v>-8.3333333333333329E-2</v>
      </c>
      <c r="AF144" s="350">
        <f t="shared" si="130"/>
        <v>4809.7536186959187</v>
      </c>
      <c r="AG144" s="350"/>
      <c r="AH144" s="350"/>
      <c r="AI144" s="350"/>
    </row>
    <row r="145" spans="2:37">
      <c r="B145" s="824" t="s">
        <v>1181</v>
      </c>
      <c r="C145" s="289">
        <v>2023</v>
      </c>
      <c r="D145" s="289">
        <f t="shared" si="97"/>
        <v>123</v>
      </c>
      <c r="E145" s="289">
        <v>3</v>
      </c>
      <c r="F145" s="351">
        <v>0</v>
      </c>
      <c r="G145" s="344" t="s">
        <v>169</v>
      </c>
      <c r="H145" s="289">
        <v>3</v>
      </c>
      <c r="I145" s="289">
        <f t="shared" si="98"/>
        <v>126</v>
      </c>
      <c r="L145" s="825">
        <v>83294.559999999998</v>
      </c>
      <c r="M145" s="350">
        <v>0</v>
      </c>
      <c r="N145" s="350">
        <f t="shared" si="117"/>
        <v>83294.559999999998</v>
      </c>
      <c r="O145" s="350">
        <f t="shared" si="118"/>
        <v>2313.7377777777779</v>
      </c>
      <c r="P145" s="350">
        <f t="shared" si="119"/>
        <v>23137.377777777649</v>
      </c>
      <c r="Q145" s="350">
        <f t="shared" si="120"/>
        <v>0</v>
      </c>
      <c r="R145" s="350">
        <f t="shared" si="121"/>
        <v>23137.377777777649</v>
      </c>
      <c r="S145" s="352">
        <f>+S134</f>
        <v>0.41544073666797288</v>
      </c>
      <c r="T145" s="350">
        <f t="shared" si="122"/>
        <v>9612.2092685651314</v>
      </c>
      <c r="U145" s="350">
        <f t="shared" si="123"/>
        <v>0</v>
      </c>
      <c r="V145" s="350">
        <f t="shared" si="124"/>
        <v>0</v>
      </c>
      <c r="W145" s="352">
        <v>1</v>
      </c>
      <c r="X145" s="350">
        <f t="shared" si="125"/>
        <v>0</v>
      </c>
      <c r="Y145" s="350">
        <f t="shared" si="126"/>
        <v>9612.2092685651314</v>
      </c>
      <c r="Z145" s="350">
        <f t="shared" si="92"/>
        <v>24991.744098269533</v>
      </c>
      <c r="AA145" s="350">
        <f t="shared" si="127"/>
        <v>123.16666666666667</v>
      </c>
      <c r="AB145" s="350">
        <f t="shared" si="115"/>
        <v>124</v>
      </c>
      <c r="AC145" s="350">
        <f t="shared" si="128"/>
        <v>126.16666666666667</v>
      </c>
      <c r="AD145" s="350">
        <f t="shared" si="116"/>
        <v>123</v>
      </c>
      <c r="AE145" s="350">
        <f t="shared" si="129"/>
        <v>-8.3333333333333329E-2</v>
      </c>
      <c r="AF145" s="350">
        <f t="shared" si="130"/>
        <v>53496.711267447892</v>
      </c>
      <c r="AG145" s="350"/>
      <c r="AH145" s="350"/>
      <c r="AI145" s="350"/>
    </row>
    <row r="146" spans="2:37">
      <c r="B146" s="824" t="s">
        <v>1182</v>
      </c>
      <c r="C146" s="289">
        <v>2023</v>
      </c>
      <c r="D146" s="289">
        <f t="shared" si="97"/>
        <v>123</v>
      </c>
      <c r="E146" s="289">
        <v>11</v>
      </c>
      <c r="F146" s="351">
        <v>0</v>
      </c>
      <c r="G146" s="344" t="s">
        <v>169</v>
      </c>
      <c r="H146" s="289">
        <v>5</v>
      </c>
      <c r="I146" s="289">
        <f t="shared" si="98"/>
        <v>128</v>
      </c>
      <c r="L146" s="825">
        <v>6834.67</v>
      </c>
      <c r="M146" s="350">
        <v>0</v>
      </c>
      <c r="N146" s="350">
        <f t="shared" si="117"/>
        <v>6834.67</v>
      </c>
      <c r="O146" s="350">
        <f t="shared" si="118"/>
        <v>113.91116666666666</v>
      </c>
      <c r="P146" s="350">
        <f t="shared" si="119"/>
        <v>227.8223333333398</v>
      </c>
      <c r="Q146" s="350">
        <f t="shared" si="120"/>
        <v>0</v>
      </c>
      <c r="R146" s="350">
        <f t="shared" si="121"/>
        <v>227.8223333333398</v>
      </c>
      <c r="S146" s="352">
        <f>+S134</f>
        <v>0.41544073666797288</v>
      </c>
      <c r="T146" s="350">
        <f t="shared" si="122"/>
        <v>94.64667798941916</v>
      </c>
      <c r="U146" s="350">
        <f t="shared" si="123"/>
        <v>0</v>
      </c>
      <c r="V146" s="350">
        <f t="shared" si="124"/>
        <v>0</v>
      </c>
      <c r="W146" s="352">
        <v>1</v>
      </c>
      <c r="X146" s="350">
        <f t="shared" si="125"/>
        <v>0</v>
      </c>
      <c r="Y146" s="350">
        <f t="shared" si="126"/>
        <v>94.64667798941916</v>
      </c>
      <c r="Z146" s="350">
        <f t="shared" si="92"/>
        <v>2744.7536616930752</v>
      </c>
      <c r="AA146" s="350">
        <f t="shared" si="127"/>
        <v>123.83333333333333</v>
      </c>
      <c r="AB146" s="350">
        <f t="shared" si="112"/>
        <v>124</v>
      </c>
      <c r="AC146" s="350">
        <f t="shared" si="128"/>
        <v>128.83333333333334</v>
      </c>
      <c r="AD146" s="350">
        <f t="shared" si="113"/>
        <v>123</v>
      </c>
      <c r="AE146" s="350">
        <f t="shared" si="129"/>
        <v>-8.3333333333333329E-2</v>
      </c>
      <c r="AF146" s="350">
        <f t="shared" si="130"/>
        <v>4042.5929993122149</v>
      </c>
      <c r="AG146" s="350"/>
      <c r="AH146" s="350"/>
      <c r="AI146" s="350"/>
    </row>
    <row r="147" spans="2:37">
      <c r="B147" s="824" t="s">
        <v>1279</v>
      </c>
      <c r="C147" s="289">
        <v>2024</v>
      </c>
      <c r="D147" s="289">
        <f t="shared" si="97"/>
        <v>124</v>
      </c>
      <c r="E147" s="289">
        <v>1</v>
      </c>
      <c r="F147" s="351">
        <v>0</v>
      </c>
      <c r="G147" s="344" t="s">
        <v>169</v>
      </c>
      <c r="H147" s="289">
        <v>5</v>
      </c>
      <c r="I147" s="289">
        <f t="shared" si="98"/>
        <v>129</v>
      </c>
      <c r="L147" s="825">
        <v>13193.58</v>
      </c>
      <c r="M147" s="350">
        <v>0</v>
      </c>
      <c r="N147" s="350">
        <f t="shared" si="117"/>
        <v>13193.58</v>
      </c>
      <c r="O147" s="350">
        <f t="shared" ref="O147" si="131">N147/H147/12</f>
        <v>219.893</v>
      </c>
      <c r="P147" s="350">
        <f t="shared" ref="P147" si="132">IF(Q147&gt;0,0,IF(OR(AA147&gt;AB147,AC147&lt;AD147),0,IF(AND(AC147&gt;=AD147,AC147&lt;=AB147),O147*((AC147-AD147)*12),IF(AND(AD147&lt;=AA147,AB147&gt;=AA147),((AB147-AA147)*12)*O147,IF(AC147&gt;AB147,12*O147,0)))))</f>
        <v>0</v>
      </c>
      <c r="Q147" s="350">
        <f t="shared" ref="Q147" si="133">IF(M147=0,0,IF(AND(AE147&gt;=AD147,AE147&lt;=AC147),((AE147-AD147)*12)*O147,0))</f>
        <v>0</v>
      </c>
      <c r="R147" s="350">
        <f t="shared" ref="R147" si="134">IF(Q147&gt;0,Q147,P147)</f>
        <v>0</v>
      </c>
      <c r="S147" s="352">
        <f>+S135</f>
        <v>0.41544073666797288</v>
      </c>
      <c r="T147" s="350">
        <f t="shared" ref="T147" si="135">S147*SUM(P147:Q147)</f>
        <v>0</v>
      </c>
      <c r="U147" s="350">
        <f t="shared" ref="U147" si="136">IF(AA147&gt;AB147,0,IF(AC147&lt;AD147,N147,IF(AND(AC147&gt;=AD147,AC147&lt;=AB147),(N147-R147),IF(AND(AD147&lt;=AA147,AB147&gt;=AA147),0,IF(AC147&gt;AB147,((AD147-AA147)*12)*O147,0)))))</f>
        <v>0</v>
      </c>
      <c r="V147" s="350">
        <f t="shared" ref="V147" si="137">U147*S147</f>
        <v>0</v>
      </c>
      <c r="W147" s="352">
        <v>1</v>
      </c>
      <c r="X147" s="350">
        <f t="shared" ref="X147" si="138">V147*W147</f>
        <v>0</v>
      </c>
      <c r="Y147" s="350">
        <f t="shared" ref="Y147" si="139">IF(M147&gt;0,0,X147+T147*W147)*W147</f>
        <v>0</v>
      </c>
      <c r="Z147" s="350">
        <f t="shared" ref="Z147" si="140">IF((N147-((AB147-AA147)*12*O147))&lt;0,0,(N147-((AB147-AA147)*12*(O147)))*S147)</f>
        <v>5481.1505944878336</v>
      </c>
      <c r="AA147" s="350">
        <f t="shared" si="127"/>
        <v>124</v>
      </c>
      <c r="AB147" s="350">
        <f t="shared" si="112"/>
        <v>124</v>
      </c>
      <c r="AC147" s="350">
        <f t="shared" si="128"/>
        <v>129</v>
      </c>
      <c r="AD147" s="350">
        <f t="shared" si="113"/>
        <v>123</v>
      </c>
      <c r="AE147" s="350">
        <f t="shared" si="129"/>
        <v>-8.3333333333333329E-2</v>
      </c>
      <c r="AF147" s="350">
        <f t="shared" ref="AF147" si="141">L147-((X147+Y147)/2)-Z147</f>
        <v>7712.4294055121663</v>
      </c>
      <c r="AG147" s="350"/>
      <c r="AH147" s="350"/>
      <c r="AI147" s="350"/>
    </row>
    <row r="148" spans="2:37">
      <c r="B148" s="824"/>
      <c r="F148" s="351"/>
      <c r="G148" s="344"/>
      <c r="L148" s="825"/>
      <c r="M148" s="350"/>
      <c r="N148" s="350"/>
      <c r="O148" s="350"/>
      <c r="P148" s="350"/>
      <c r="Q148" s="350"/>
      <c r="R148" s="350"/>
      <c r="S148" s="352"/>
      <c r="T148" s="350"/>
      <c r="U148" s="350"/>
      <c r="V148" s="350"/>
      <c r="W148" s="352"/>
      <c r="X148" s="350"/>
      <c r="Y148" s="350"/>
      <c r="Z148" s="350"/>
      <c r="AA148" s="350"/>
      <c r="AB148" s="350"/>
      <c r="AC148" s="350"/>
      <c r="AD148" s="350"/>
      <c r="AE148" s="350"/>
      <c r="AF148" s="350"/>
      <c r="AG148" s="350"/>
      <c r="AH148" s="350"/>
      <c r="AI148" s="350"/>
    </row>
    <row r="149" spans="2:37">
      <c r="B149" s="817"/>
      <c r="F149" s="351"/>
      <c r="G149" s="344"/>
      <c r="L149" s="820"/>
      <c r="M149" s="350"/>
      <c r="N149" s="354"/>
      <c r="O149" s="354"/>
      <c r="P149" s="354"/>
      <c r="Q149" s="354"/>
      <c r="R149" s="354"/>
      <c r="S149" s="352"/>
      <c r="T149" s="354"/>
      <c r="U149" s="354"/>
      <c r="V149" s="354"/>
      <c r="W149" s="352"/>
      <c r="X149" s="354"/>
      <c r="Y149" s="354"/>
      <c r="Z149" s="354"/>
      <c r="AA149" s="350"/>
      <c r="AB149" s="350"/>
      <c r="AC149" s="350"/>
      <c r="AD149" s="350"/>
      <c r="AE149" s="350"/>
      <c r="AF149" s="354"/>
      <c r="AG149" s="350"/>
      <c r="AH149" s="350"/>
      <c r="AI149" s="350"/>
    </row>
    <row r="150" spans="2:37">
      <c r="B150" s="355" t="s">
        <v>170</v>
      </c>
      <c r="F150" s="351"/>
      <c r="G150" s="344"/>
      <c r="L150" s="350">
        <f>SUM(L130:L147)</f>
        <v>3682739.8600000003</v>
      </c>
      <c r="M150" s="350"/>
      <c r="N150" s="350">
        <f>SUM(N130:N147)</f>
        <v>3682739.8600000003</v>
      </c>
      <c r="O150" s="350">
        <f>SUM(O130:O147)</f>
        <v>17710.630441468253</v>
      </c>
      <c r="P150" s="350">
        <f>SUM(P130:P146)</f>
        <v>93489.97636111101</v>
      </c>
      <c r="Q150" s="350">
        <f>SUM(Q130:Q146)</f>
        <v>0</v>
      </c>
      <c r="R150" s="350">
        <f>SUM(R130:R146)</f>
        <v>93489.97636111101</v>
      </c>
      <c r="S150" s="350"/>
      <c r="T150" s="350">
        <f>SUM(T130:T146)</f>
        <v>38839.544650531316</v>
      </c>
      <c r="U150" s="350">
        <f>SUM(U130:U146)</f>
        <v>1006793.726083333</v>
      </c>
      <c r="V150" s="350">
        <f>SUM(V130:V146)</f>
        <v>432015.96699846425</v>
      </c>
      <c r="W150" s="350"/>
      <c r="X150" s="350">
        <f>SUM(X130:X146)</f>
        <v>432015.96699846425</v>
      </c>
      <c r="Y150" s="350">
        <f>SUM(Y130:Y146)</f>
        <v>470855.51164899545</v>
      </c>
      <c r="Z150" s="350">
        <f>SUM(Z130:Z146)</f>
        <v>1067376.3379131351</v>
      </c>
      <c r="AA150" s="350"/>
      <c r="AB150" s="350"/>
      <c r="AC150" s="350"/>
      <c r="AD150" s="350"/>
      <c r="AE150" s="350"/>
      <c r="AF150" s="350">
        <f>SUM(AF130:AF146)</f>
        <v>2041174.3694267289</v>
      </c>
    </row>
    <row r="151" spans="2:37">
      <c r="F151" s="351"/>
      <c r="G151" s="344"/>
      <c r="L151" s="350"/>
      <c r="M151" s="350"/>
      <c r="N151" s="350"/>
      <c r="O151" s="350"/>
      <c r="P151" s="350"/>
      <c r="Q151" s="350"/>
      <c r="R151" s="350"/>
      <c r="S151" s="352"/>
      <c r="T151" s="350"/>
      <c r="U151" s="350"/>
      <c r="V151" s="350"/>
      <c r="W151" s="352"/>
      <c r="X151" s="350"/>
      <c r="Y151" s="350"/>
      <c r="Z151" s="350"/>
      <c r="AA151" s="350"/>
      <c r="AB151" s="350"/>
      <c r="AC151" s="350"/>
      <c r="AD151" s="350"/>
      <c r="AE151" s="350"/>
      <c r="AF151" s="350"/>
    </row>
    <row r="152" spans="2:37" ht="16.5" thickBot="1">
      <c r="B152" s="291" t="s">
        <v>1189</v>
      </c>
      <c r="K152" s="356" t="s">
        <v>204</v>
      </c>
      <c r="L152" s="357">
        <f>SUM(L150:L151)</f>
        <v>3682739.8600000003</v>
      </c>
      <c r="M152" s="350"/>
      <c r="N152" s="357">
        <f>SUM(N150:N151)</f>
        <v>3682739.8600000003</v>
      </c>
      <c r="O152" s="357">
        <f>SUM(O150:O151)</f>
        <v>17710.630441468253</v>
      </c>
      <c r="P152" s="357">
        <f>SUM(P150:P151)</f>
        <v>93489.97636111101</v>
      </c>
      <c r="Q152" s="357">
        <f>SUM(Q150:Q151)</f>
        <v>0</v>
      </c>
      <c r="R152" s="357">
        <f>SUM(R150:R151)</f>
        <v>93489.97636111101</v>
      </c>
      <c r="S152" s="358"/>
      <c r="T152" s="357">
        <f>SUM(T150:T151)</f>
        <v>38839.544650531316</v>
      </c>
      <c r="U152" s="357">
        <f>SUM(U150:U151)</f>
        <v>1006793.726083333</v>
      </c>
      <c r="V152" s="357">
        <f>SUM(V150:V151)</f>
        <v>432015.96699846425</v>
      </c>
      <c r="W152" s="358"/>
      <c r="X152" s="357">
        <f>SUM(X150:X151)</f>
        <v>432015.96699846425</v>
      </c>
      <c r="Y152" s="357">
        <f>SUM(Y150:Y151)</f>
        <v>470855.51164899545</v>
      </c>
      <c r="Z152" s="357">
        <f>SUM(Z150:Z151)</f>
        <v>1067376.3379131351</v>
      </c>
      <c r="AA152" s="350"/>
      <c r="AB152" s="350"/>
      <c r="AC152" s="350"/>
      <c r="AD152" s="350"/>
      <c r="AE152" s="350"/>
      <c r="AF152" s="655">
        <f>SUM(AF150:AF151)</f>
        <v>2041174.3694267289</v>
      </c>
      <c r="AG152" s="358"/>
      <c r="AH152" s="358"/>
      <c r="AI152" s="358"/>
      <c r="AJ152" s="358"/>
      <c r="AK152" s="358"/>
    </row>
    <row r="153" spans="2:37" ht="16.5" thickTop="1">
      <c r="B153" s="817"/>
      <c r="F153" s="351"/>
      <c r="G153" s="344"/>
      <c r="L153" s="816"/>
      <c r="M153" s="350"/>
      <c r="N153" s="350"/>
      <c r="O153" s="350"/>
      <c r="P153" s="350"/>
      <c r="Q153" s="350"/>
      <c r="R153" s="350"/>
      <c r="S153" s="352"/>
      <c r="T153" s="350"/>
      <c r="U153" s="350"/>
      <c r="V153" s="350"/>
      <c r="W153" s="352"/>
      <c r="X153" s="350"/>
      <c r="Y153" s="350"/>
      <c r="Z153" s="350"/>
      <c r="AA153" s="350"/>
      <c r="AB153" s="350"/>
      <c r="AC153" s="350"/>
      <c r="AD153" s="350"/>
      <c r="AE153" s="350"/>
      <c r="AF153" s="350"/>
      <c r="AG153" s="350"/>
      <c r="AH153" s="350"/>
      <c r="AI153" s="350"/>
    </row>
    <row r="154" spans="2:37">
      <c r="B154" s="291" t="s">
        <v>1183</v>
      </c>
      <c r="F154" s="351"/>
      <c r="G154" s="344"/>
      <c r="L154" s="816"/>
      <c r="M154" s="350"/>
      <c r="N154" s="350"/>
      <c r="O154" s="350"/>
      <c r="P154" s="350"/>
      <c r="Q154" s="350"/>
      <c r="R154" s="350"/>
      <c r="S154" s="352"/>
      <c r="T154" s="350"/>
      <c r="U154" s="350"/>
      <c r="V154" s="350"/>
      <c r="W154" s="352"/>
      <c r="X154" s="350"/>
      <c r="Y154" s="350"/>
      <c r="Z154" s="350"/>
      <c r="AA154" s="350"/>
      <c r="AB154" s="350"/>
      <c r="AC154" s="350"/>
      <c r="AD154" s="350"/>
      <c r="AE154" s="350"/>
      <c r="AF154" s="350"/>
      <c r="AG154" s="350"/>
      <c r="AH154" s="350"/>
      <c r="AI154" s="350"/>
    </row>
    <row r="155" spans="2:37">
      <c r="B155" s="353" t="s">
        <v>674</v>
      </c>
      <c r="C155" s="289">
        <v>2010</v>
      </c>
      <c r="D155" s="289">
        <f t="shared" ref="D155:D161" si="142">+C155-1900</f>
        <v>110</v>
      </c>
      <c r="E155" s="289">
        <v>6</v>
      </c>
      <c r="F155" s="351">
        <v>0</v>
      </c>
      <c r="G155" s="344" t="s">
        <v>169</v>
      </c>
      <c r="H155" s="289">
        <v>7</v>
      </c>
      <c r="I155" s="289">
        <f t="shared" ref="I155:I161" si="143">D155+H155</f>
        <v>117</v>
      </c>
      <c r="L155" s="576">
        <v>11669</v>
      </c>
      <c r="M155" s="350">
        <v>0</v>
      </c>
      <c r="N155" s="350">
        <f>L155-(+L155*F155)</f>
        <v>11669</v>
      </c>
      <c r="O155" s="350">
        <f>N155/H155/12</f>
        <v>138.91666666666666</v>
      </c>
      <c r="P155" s="350">
        <f>IF(Q155&gt;0,0,IF(OR(AA155&gt;AB155,AC155&lt;AD155),0,IF(AND(AC155&gt;=AD155,AC155&lt;=AB155),O155*((AC155-AD155)*12),IF(AND(AD155&lt;=AA155,AB155&gt;=AA155),((AB155-AA155)*12)*O155,IF(AC155&gt;AB155,12*O155,0)))))</f>
        <v>0</v>
      </c>
      <c r="Q155" s="350">
        <f>IF(M155=0,0,IF(AND(AE155&gt;=AD155,AE155&lt;=AC155),((AE155-AD155)*12)*O155,0))</f>
        <v>0</v>
      </c>
      <c r="R155" s="350">
        <f>IF(Q155&gt;0,Q155,P155)</f>
        <v>0</v>
      </c>
      <c r="S155" s="352">
        <f>+'WP-11 - Non-Regulated'!$K$40</f>
        <v>0.5539209822239638</v>
      </c>
      <c r="T155" s="350">
        <f>S155*SUM(P155:Q155)</f>
        <v>0</v>
      </c>
      <c r="U155" s="350">
        <f>IF(AA155&gt;AB155,0,IF(AC155&lt;AD155,N155,IF(AND(AC155&gt;=AD155,AC155&lt;=AB155),(N155-R155),IF(AND(AD155&lt;=AA155,AB155&gt;=AA155),0,IF(AC155&gt;AB155,((AD155-AA155)*12)*O155,0)))))</f>
        <v>11669</v>
      </c>
      <c r="V155" s="350">
        <f>U155*S155</f>
        <v>6463.7039415714335</v>
      </c>
      <c r="W155" s="352">
        <v>1</v>
      </c>
      <c r="X155" s="350">
        <f>V155*W155</f>
        <v>6463.7039415714335</v>
      </c>
      <c r="Y155" s="350">
        <f>IF(M155&gt;0,0,X155+T155*W155)*W155</f>
        <v>6463.7039415714335</v>
      </c>
      <c r="Z155" s="350">
        <f t="shared" ref="Z155:Z161" si="144">IF((N155-((AB155-AA155)*12*O155))&lt;0,0,(N155-((AB155-AA155)*12*(O155)))*S155)</f>
        <v>0</v>
      </c>
      <c r="AA155" s="350">
        <f>$D155+(($E155-1)/12)</f>
        <v>110.41666666666667</v>
      </c>
      <c r="AB155" s="350">
        <f t="shared" si="115"/>
        <v>124</v>
      </c>
      <c r="AC155" s="350">
        <f>$I155+(($E155-1)/12)</f>
        <v>117.41666666666667</v>
      </c>
      <c r="AD155" s="350">
        <f t="shared" si="116"/>
        <v>123</v>
      </c>
      <c r="AE155" s="350">
        <f>$J155+(($K155-1)/12)</f>
        <v>-8.3333333333333329E-2</v>
      </c>
      <c r="AF155" s="350">
        <f>L155-((X155+Y155)/2)-Z155</f>
        <v>5205.2960584285665</v>
      </c>
      <c r="AG155" s="350"/>
      <c r="AH155" s="350"/>
      <c r="AI155" s="350"/>
    </row>
    <row r="156" spans="2:37">
      <c r="B156" s="353" t="s">
        <v>661</v>
      </c>
      <c r="C156" s="289">
        <v>2011</v>
      </c>
      <c r="D156" s="289">
        <f t="shared" si="142"/>
        <v>111</v>
      </c>
      <c r="E156" s="289">
        <v>6</v>
      </c>
      <c r="F156" s="351">
        <v>0</v>
      </c>
      <c r="G156" s="344" t="s">
        <v>169</v>
      </c>
      <c r="H156" s="289">
        <v>7</v>
      </c>
      <c r="I156" s="289">
        <f t="shared" si="143"/>
        <v>118</v>
      </c>
      <c r="L156" s="576">
        <v>11836</v>
      </c>
      <c r="M156" s="350">
        <v>0</v>
      </c>
      <c r="N156" s="359">
        <f>L156-(+L156*F156)</f>
        <v>11836</v>
      </c>
      <c r="O156" s="359">
        <f>N156/H156/12</f>
        <v>140.9047619047619</v>
      </c>
      <c r="P156" s="359">
        <f>IF(Q156&gt;0,0,IF(OR(AA156&gt;AB156,AC156&lt;AD156),0,IF(AND(AC156&gt;=AD156,AC156&lt;=AB156),O156*((AC156-AD156)*12),IF(AND(AD156&lt;=AA156,AB156&gt;=AA156),((AB156-AA156)*12)*O156,IF(AC156&gt;AB156,12*O156,0)))))</f>
        <v>0</v>
      </c>
      <c r="Q156" s="350">
        <f>IF(M156=0,0,IF(AND(AE156&gt;=AD156,AE156&lt;=AC156),((AE156-AD156)*12)*O156,0))</f>
        <v>0</v>
      </c>
      <c r="R156" s="359">
        <f>IF(Q156&gt;0,Q156,P156)</f>
        <v>0</v>
      </c>
      <c r="S156" s="352">
        <f>+'WP-11 - Non-Regulated'!$K$40</f>
        <v>0.5539209822239638</v>
      </c>
      <c r="T156" s="350">
        <f>S156*SUM(P156:Q156)</f>
        <v>0</v>
      </c>
      <c r="U156" s="359">
        <f>IF(AA156&gt;AB156,0,IF(AC156&lt;AD156,N156,IF(AND(AC156&gt;=AD156,AC156&lt;=AB156),(N156-R156),IF(AND(AD156&lt;=AA156,AB156&gt;=AA156),0,IF(AC156&gt;AB156,((AD156-AA156)*12)*O156,0)))))</f>
        <v>11836</v>
      </c>
      <c r="V156" s="359">
        <f>U156*S156</f>
        <v>6556.2087456028357</v>
      </c>
      <c r="W156" s="352">
        <v>1</v>
      </c>
      <c r="X156" s="359">
        <f>V156*W156</f>
        <v>6556.2087456028357</v>
      </c>
      <c r="Y156" s="359">
        <f>IF(M156&gt;0,0,X156+T156*W156)*W156</f>
        <v>6556.2087456028357</v>
      </c>
      <c r="Z156" s="350">
        <f t="shared" si="144"/>
        <v>0</v>
      </c>
      <c r="AA156" s="350">
        <f>$D156+(($E156-1)/12)</f>
        <v>111.41666666666667</v>
      </c>
      <c r="AB156" s="350">
        <f t="shared" ref="AB156:AB383" si="145">($B$10+1)-($B$7/12)</f>
        <v>124</v>
      </c>
      <c r="AC156" s="350">
        <f>$I156+(($E156-1)/12)</f>
        <v>118.41666666666667</v>
      </c>
      <c r="AD156" s="350">
        <f t="shared" ref="AD156:AD383" si="146">$B$9+($B$8/12)</f>
        <v>123</v>
      </c>
      <c r="AE156" s="350">
        <f>$J156+(($K156-1)/12)</f>
        <v>-8.3333333333333329E-2</v>
      </c>
      <c r="AF156" s="350">
        <f>L156-((X156+Y156)/2)-Z156</f>
        <v>5279.7912543971643</v>
      </c>
      <c r="AG156" s="350"/>
      <c r="AH156" s="350"/>
      <c r="AI156" s="350"/>
    </row>
    <row r="157" spans="2:37">
      <c r="B157" s="826" t="s">
        <v>1184</v>
      </c>
      <c r="C157" s="289">
        <v>1998</v>
      </c>
      <c r="D157" s="289">
        <f t="shared" si="142"/>
        <v>98</v>
      </c>
      <c r="E157" s="289">
        <v>1</v>
      </c>
      <c r="F157" s="351">
        <v>0</v>
      </c>
      <c r="G157" s="344" t="s">
        <v>169</v>
      </c>
      <c r="H157" s="289">
        <v>7</v>
      </c>
      <c r="I157" s="289">
        <f t="shared" si="143"/>
        <v>105</v>
      </c>
      <c r="L157" s="827">
        <v>4847</v>
      </c>
      <c r="M157" s="350">
        <v>0</v>
      </c>
      <c r="N157" s="350">
        <f t="shared" ref="N157:N161" si="147">L157-(+L157*F157)</f>
        <v>4847</v>
      </c>
      <c r="O157" s="350">
        <f t="shared" ref="O157:O161" si="148">N157/H157/12</f>
        <v>57.702380952380956</v>
      </c>
      <c r="P157" s="350">
        <f t="shared" ref="P157:P161" si="149">IF(Q157&gt;0,0,IF(OR(AA157&gt;AB157,AC157&lt;AD157),0,IF(AND(AC157&gt;=AD157,AC157&lt;=AB157),O157*((AC157-AD157)*12),IF(AND(AD157&lt;=AA157,AB157&gt;=AA157),((AB157-AA157)*12)*O157,IF(AC157&gt;AB157,12*O157,0)))))</f>
        <v>0</v>
      </c>
      <c r="Q157" s="350">
        <f t="shared" ref="Q157:Q161" si="150">IF(M157=0,0,IF(AND(AE157&gt;=AD157,AE157&lt;=AC157),((AE157-AD157)*12)*O157,0))</f>
        <v>0</v>
      </c>
      <c r="R157" s="350">
        <f t="shared" ref="R157:R161" si="151">IF(Q157&gt;0,Q157,P157)</f>
        <v>0</v>
      </c>
      <c r="S157" s="352">
        <f>+'WP-11 - Non-Regulated'!$K$40</f>
        <v>0.5539209822239638</v>
      </c>
      <c r="T157" s="350">
        <f t="shared" ref="T157:T161" si="152">S157*SUM(P157:Q157)</f>
        <v>0</v>
      </c>
      <c r="U157" s="350">
        <f t="shared" ref="U157:U161" si="153">IF(AA157&gt;AB157,0,IF(AC157&lt;AD157,N157,IF(AND(AC157&gt;=AD157,AC157&lt;=AB157),(N157-R157),IF(AND(AD157&lt;=AA157,AB157&gt;=AA157),0,IF(AC157&gt;AB157,((AD157-AA157)*12)*O157,0)))))</f>
        <v>4847</v>
      </c>
      <c r="V157" s="350">
        <f t="shared" ref="V157:V161" si="154">U157*S157</f>
        <v>2684.8550008395523</v>
      </c>
      <c r="W157" s="352">
        <v>1</v>
      </c>
      <c r="X157" s="350">
        <f t="shared" ref="X157:X161" si="155">V157*W157</f>
        <v>2684.8550008395523</v>
      </c>
      <c r="Y157" s="350">
        <f t="shared" ref="Y157:Y161" si="156">IF(M157&gt;0,0,X157+T157*W157)*W157</f>
        <v>2684.8550008395523</v>
      </c>
      <c r="Z157" s="350">
        <f t="shared" si="144"/>
        <v>0</v>
      </c>
      <c r="AA157" s="350">
        <f t="shared" ref="AA157:AA161" si="157">$D157+(($E157-1)/12)</f>
        <v>98</v>
      </c>
      <c r="AB157" s="350">
        <f t="shared" si="115"/>
        <v>124</v>
      </c>
      <c r="AC157" s="350">
        <f t="shared" ref="AC157:AC161" si="158">$I157+(($E157-1)/12)</f>
        <v>105</v>
      </c>
      <c r="AD157" s="350">
        <f t="shared" si="116"/>
        <v>123</v>
      </c>
      <c r="AE157" s="350">
        <f t="shared" ref="AE157:AE161" si="159">$J157+(($K157-1)/12)</f>
        <v>-8.3333333333333329E-2</v>
      </c>
      <c r="AF157" s="350">
        <f t="shared" ref="AF157:AF161" si="160">L157-((X157+Y157)/2)-Z157</f>
        <v>2162.1449991604477</v>
      </c>
      <c r="AG157" s="350"/>
      <c r="AH157" s="350"/>
      <c r="AI157" s="350"/>
    </row>
    <row r="158" spans="2:37">
      <c r="B158" s="826" t="s">
        <v>1185</v>
      </c>
      <c r="C158" s="289">
        <v>1998</v>
      </c>
      <c r="D158" s="289">
        <f t="shared" si="142"/>
        <v>98</v>
      </c>
      <c r="E158" s="289">
        <v>1</v>
      </c>
      <c r="F158" s="351">
        <v>0</v>
      </c>
      <c r="G158" s="344" t="s">
        <v>169</v>
      </c>
      <c r="H158" s="289">
        <v>7</v>
      </c>
      <c r="I158" s="289">
        <f t="shared" si="143"/>
        <v>105</v>
      </c>
      <c r="L158" s="827">
        <v>1568</v>
      </c>
      <c r="M158" s="350">
        <v>0</v>
      </c>
      <c r="N158" s="359">
        <f t="shared" si="147"/>
        <v>1568</v>
      </c>
      <c r="O158" s="359">
        <f t="shared" si="148"/>
        <v>18.666666666666668</v>
      </c>
      <c r="P158" s="359">
        <f t="shared" si="149"/>
        <v>0</v>
      </c>
      <c r="Q158" s="350">
        <f t="shared" si="150"/>
        <v>0</v>
      </c>
      <c r="R158" s="359">
        <f t="shared" si="151"/>
        <v>0</v>
      </c>
      <c r="S158" s="352">
        <f>+'WP-11 - Non-Regulated'!$K$40</f>
        <v>0.5539209822239638</v>
      </c>
      <c r="T158" s="350">
        <f t="shared" si="152"/>
        <v>0</v>
      </c>
      <c r="U158" s="359">
        <f t="shared" si="153"/>
        <v>1568</v>
      </c>
      <c r="V158" s="359">
        <f t="shared" si="154"/>
        <v>868.54810012717519</v>
      </c>
      <c r="W158" s="352">
        <v>1</v>
      </c>
      <c r="X158" s="359">
        <f t="shared" si="155"/>
        <v>868.54810012717519</v>
      </c>
      <c r="Y158" s="359">
        <f t="shared" si="156"/>
        <v>868.54810012717519</v>
      </c>
      <c r="Z158" s="350">
        <f t="shared" si="144"/>
        <v>0</v>
      </c>
      <c r="AA158" s="350">
        <f t="shared" si="157"/>
        <v>98</v>
      </c>
      <c r="AB158" s="350">
        <f t="shared" si="145"/>
        <v>124</v>
      </c>
      <c r="AC158" s="350">
        <f t="shared" si="158"/>
        <v>105</v>
      </c>
      <c r="AD158" s="350">
        <f t="shared" si="146"/>
        <v>123</v>
      </c>
      <c r="AE158" s="350">
        <f t="shared" si="159"/>
        <v>-8.3333333333333329E-2</v>
      </c>
      <c r="AF158" s="350">
        <f t="shared" si="160"/>
        <v>699.45189987282481</v>
      </c>
      <c r="AG158" s="350"/>
      <c r="AH158" s="350"/>
      <c r="AI158" s="350"/>
    </row>
    <row r="159" spans="2:37">
      <c r="B159" s="826" t="s">
        <v>1186</v>
      </c>
      <c r="C159" s="289">
        <v>1998</v>
      </c>
      <c r="D159" s="289">
        <f t="shared" si="142"/>
        <v>98</v>
      </c>
      <c r="E159" s="289">
        <v>1</v>
      </c>
      <c r="F159" s="351">
        <v>0</v>
      </c>
      <c r="G159" s="344" t="s">
        <v>169</v>
      </c>
      <c r="H159" s="289">
        <v>7</v>
      </c>
      <c r="I159" s="289">
        <f t="shared" si="143"/>
        <v>105</v>
      </c>
      <c r="L159" s="827">
        <v>250</v>
      </c>
      <c r="M159" s="350">
        <v>0</v>
      </c>
      <c r="N159" s="350">
        <f t="shared" si="147"/>
        <v>250</v>
      </c>
      <c r="O159" s="350">
        <f t="shared" si="148"/>
        <v>2.9761904761904763</v>
      </c>
      <c r="P159" s="350">
        <f t="shared" si="149"/>
        <v>0</v>
      </c>
      <c r="Q159" s="350">
        <f t="shared" si="150"/>
        <v>0</v>
      </c>
      <c r="R159" s="350">
        <f t="shared" si="151"/>
        <v>0</v>
      </c>
      <c r="S159" s="352">
        <f>+'WP-11 - Non-Regulated'!$K$40</f>
        <v>0.5539209822239638</v>
      </c>
      <c r="T159" s="350">
        <f t="shared" si="152"/>
        <v>0</v>
      </c>
      <c r="U159" s="350">
        <f t="shared" si="153"/>
        <v>250</v>
      </c>
      <c r="V159" s="350">
        <f t="shared" si="154"/>
        <v>138.48024555599096</v>
      </c>
      <c r="W159" s="352">
        <v>1</v>
      </c>
      <c r="X159" s="350">
        <f t="shared" si="155"/>
        <v>138.48024555599096</v>
      </c>
      <c r="Y159" s="350">
        <f t="shared" si="156"/>
        <v>138.48024555599096</v>
      </c>
      <c r="Z159" s="350">
        <f t="shared" si="144"/>
        <v>0</v>
      </c>
      <c r="AA159" s="350">
        <f t="shared" si="157"/>
        <v>98</v>
      </c>
      <c r="AB159" s="350">
        <f t="shared" si="115"/>
        <v>124</v>
      </c>
      <c r="AC159" s="350">
        <f t="shared" si="158"/>
        <v>105</v>
      </c>
      <c r="AD159" s="350">
        <f t="shared" si="116"/>
        <v>123</v>
      </c>
      <c r="AE159" s="350">
        <f t="shared" si="159"/>
        <v>-8.3333333333333329E-2</v>
      </c>
      <c r="AF159" s="350">
        <f t="shared" si="160"/>
        <v>111.51975444400904</v>
      </c>
      <c r="AG159" s="350"/>
      <c r="AH159" s="350"/>
      <c r="AI159" s="350"/>
    </row>
    <row r="160" spans="2:37">
      <c r="B160" s="826" t="s">
        <v>1187</v>
      </c>
      <c r="C160" s="289">
        <v>1998</v>
      </c>
      <c r="D160" s="289">
        <f t="shared" si="142"/>
        <v>98</v>
      </c>
      <c r="E160" s="289">
        <v>1</v>
      </c>
      <c r="F160" s="351">
        <v>0</v>
      </c>
      <c r="G160" s="344" t="s">
        <v>169</v>
      </c>
      <c r="H160" s="289">
        <v>7</v>
      </c>
      <c r="I160" s="289">
        <f t="shared" si="143"/>
        <v>105</v>
      </c>
      <c r="L160" s="827">
        <v>132</v>
      </c>
      <c r="M160" s="350">
        <v>0</v>
      </c>
      <c r="N160" s="359">
        <f t="shared" si="147"/>
        <v>132</v>
      </c>
      <c r="O160" s="359">
        <f t="shared" si="148"/>
        <v>1.5714285714285714</v>
      </c>
      <c r="P160" s="359">
        <f t="shared" si="149"/>
        <v>0</v>
      </c>
      <c r="Q160" s="350">
        <f t="shared" si="150"/>
        <v>0</v>
      </c>
      <c r="R160" s="359">
        <f t="shared" si="151"/>
        <v>0</v>
      </c>
      <c r="S160" s="352">
        <f>+'WP-11 - Non-Regulated'!$K$40</f>
        <v>0.5539209822239638</v>
      </c>
      <c r="T160" s="350">
        <f t="shared" si="152"/>
        <v>0</v>
      </c>
      <c r="U160" s="359">
        <f t="shared" si="153"/>
        <v>132</v>
      </c>
      <c r="V160" s="359">
        <f t="shared" si="154"/>
        <v>73.117569653563223</v>
      </c>
      <c r="W160" s="352">
        <v>1</v>
      </c>
      <c r="X160" s="359">
        <f t="shared" si="155"/>
        <v>73.117569653563223</v>
      </c>
      <c r="Y160" s="359">
        <f t="shared" si="156"/>
        <v>73.117569653563223</v>
      </c>
      <c r="Z160" s="350">
        <f t="shared" si="144"/>
        <v>0</v>
      </c>
      <c r="AA160" s="350">
        <f t="shared" si="157"/>
        <v>98</v>
      </c>
      <c r="AB160" s="350">
        <f t="shared" si="145"/>
        <v>124</v>
      </c>
      <c r="AC160" s="350">
        <f t="shared" si="158"/>
        <v>105</v>
      </c>
      <c r="AD160" s="350">
        <f t="shared" si="146"/>
        <v>123</v>
      </c>
      <c r="AE160" s="350">
        <f t="shared" si="159"/>
        <v>-8.3333333333333329E-2</v>
      </c>
      <c r="AF160" s="350">
        <f t="shared" si="160"/>
        <v>58.882430346436777</v>
      </c>
      <c r="AG160" s="350"/>
      <c r="AH160" s="350"/>
      <c r="AI160" s="350"/>
    </row>
    <row r="161" spans="1:37">
      <c r="B161" s="826" t="s">
        <v>1188</v>
      </c>
      <c r="C161" s="289">
        <v>2002</v>
      </c>
      <c r="D161" s="289">
        <f t="shared" si="142"/>
        <v>102</v>
      </c>
      <c r="E161" s="289">
        <v>1</v>
      </c>
      <c r="F161" s="351">
        <v>0</v>
      </c>
      <c r="G161" s="344" t="s">
        <v>169</v>
      </c>
      <c r="H161" s="289">
        <v>7</v>
      </c>
      <c r="I161" s="289">
        <f t="shared" si="143"/>
        <v>109</v>
      </c>
      <c r="L161" s="827">
        <v>5108</v>
      </c>
      <c r="M161" s="350">
        <v>0</v>
      </c>
      <c r="N161" s="350">
        <f t="shared" si="147"/>
        <v>5108</v>
      </c>
      <c r="O161" s="350">
        <f t="shared" si="148"/>
        <v>60.809523809523803</v>
      </c>
      <c r="P161" s="350">
        <f t="shared" si="149"/>
        <v>0</v>
      </c>
      <c r="Q161" s="350">
        <f t="shared" si="150"/>
        <v>0</v>
      </c>
      <c r="R161" s="350">
        <f t="shared" si="151"/>
        <v>0</v>
      </c>
      <c r="S161" s="352">
        <f>+'WP-11 - Non-Regulated'!$K$40</f>
        <v>0.5539209822239638</v>
      </c>
      <c r="T161" s="350">
        <f t="shared" si="152"/>
        <v>0</v>
      </c>
      <c r="U161" s="350">
        <f t="shared" si="153"/>
        <v>5108</v>
      </c>
      <c r="V161" s="350">
        <f t="shared" si="154"/>
        <v>2829.4283772000072</v>
      </c>
      <c r="W161" s="352">
        <v>1</v>
      </c>
      <c r="X161" s="350">
        <f t="shared" si="155"/>
        <v>2829.4283772000072</v>
      </c>
      <c r="Y161" s="350">
        <f t="shared" si="156"/>
        <v>2829.4283772000072</v>
      </c>
      <c r="Z161" s="350">
        <f t="shared" si="144"/>
        <v>0</v>
      </c>
      <c r="AA161" s="350">
        <f t="shared" si="157"/>
        <v>102</v>
      </c>
      <c r="AB161" s="350">
        <f t="shared" si="115"/>
        <v>124</v>
      </c>
      <c r="AC161" s="350">
        <f t="shared" si="158"/>
        <v>109</v>
      </c>
      <c r="AD161" s="350">
        <f t="shared" si="116"/>
        <v>123</v>
      </c>
      <c r="AE161" s="350">
        <f t="shared" si="159"/>
        <v>-8.3333333333333329E-2</v>
      </c>
      <c r="AF161" s="350">
        <f t="shared" si="160"/>
        <v>2278.5716227999928</v>
      </c>
      <c r="AG161" s="350"/>
      <c r="AH161" s="350"/>
      <c r="AI161" s="350"/>
    </row>
    <row r="162" spans="1:37">
      <c r="B162" s="817"/>
      <c r="F162" s="351"/>
      <c r="G162" s="344"/>
      <c r="L162" s="820"/>
      <c r="M162" s="350"/>
      <c r="N162" s="354"/>
      <c r="O162" s="354"/>
      <c r="P162" s="354"/>
      <c r="Q162" s="354"/>
      <c r="R162" s="354"/>
      <c r="S162" s="352"/>
      <c r="T162" s="354"/>
      <c r="U162" s="354"/>
      <c r="V162" s="354"/>
      <c r="W162" s="352"/>
      <c r="X162" s="354"/>
      <c r="Y162" s="354"/>
      <c r="Z162" s="354"/>
      <c r="AA162" s="350"/>
      <c r="AB162" s="350"/>
      <c r="AC162" s="350"/>
      <c r="AD162" s="350"/>
      <c r="AE162" s="350"/>
      <c r="AF162" s="354"/>
      <c r="AG162" s="350"/>
      <c r="AH162" s="350"/>
      <c r="AI162" s="350"/>
    </row>
    <row r="163" spans="1:37">
      <c r="B163" s="355" t="s">
        <v>170</v>
      </c>
      <c r="F163" s="351"/>
      <c r="G163" s="344"/>
      <c r="L163" s="350">
        <f>SUM(L155:L161)</f>
        <v>35410</v>
      </c>
      <c r="M163" s="350"/>
      <c r="N163" s="350">
        <f>SUM(N155:N161)</f>
        <v>35410</v>
      </c>
      <c r="O163" s="350">
        <f>SUM(O155:O161)</f>
        <v>421.54761904761904</v>
      </c>
      <c r="P163" s="350">
        <f>SUM(P155:P161)</f>
        <v>0</v>
      </c>
      <c r="Q163" s="350">
        <f>SUM(Q155:Q161)</f>
        <v>0</v>
      </c>
      <c r="R163" s="350">
        <f>SUM(R155:R161)</f>
        <v>0</v>
      </c>
      <c r="S163" s="350"/>
      <c r="T163" s="350">
        <f>SUM(T155:T161)</f>
        <v>0</v>
      </c>
      <c r="U163" s="350">
        <f>SUM(U155:U161)</f>
        <v>35410</v>
      </c>
      <c r="V163" s="350">
        <f>SUM(V155:V161)</f>
        <v>19614.341980550562</v>
      </c>
      <c r="W163" s="350"/>
      <c r="X163" s="350">
        <f>SUM(X155:X161)</f>
        <v>19614.341980550562</v>
      </c>
      <c r="Y163" s="350">
        <f>SUM(Y155:Y161)</f>
        <v>19614.341980550562</v>
      </c>
      <c r="Z163" s="350">
        <f>SUM(Z155:Z161)</f>
        <v>0</v>
      </c>
      <c r="AA163" s="350"/>
      <c r="AB163" s="350"/>
      <c r="AC163" s="350"/>
      <c r="AD163" s="350"/>
      <c r="AE163" s="350"/>
      <c r="AF163" s="350">
        <f>SUM(AF155:AF161)</f>
        <v>15795.658019449442</v>
      </c>
    </row>
    <row r="164" spans="1:37">
      <c r="F164" s="351"/>
      <c r="G164" s="344"/>
      <c r="L164" s="350"/>
      <c r="M164" s="350"/>
      <c r="N164" s="350"/>
      <c r="O164" s="350"/>
      <c r="P164" s="350"/>
      <c r="Q164" s="350"/>
      <c r="R164" s="350"/>
      <c r="S164" s="352"/>
      <c r="T164" s="350"/>
      <c r="U164" s="350"/>
      <c r="V164" s="350"/>
      <c r="W164" s="352"/>
      <c r="X164" s="350"/>
      <c r="Y164" s="350"/>
      <c r="Z164" s="350"/>
      <c r="AA164" s="350"/>
      <c r="AB164" s="350"/>
      <c r="AC164" s="350"/>
      <c r="AD164" s="350"/>
      <c r="AE164" s="350"/>
      <c r="AF164" s="350"/>
    </row>
    <row r="165" spans="1:37" ht="16.5" thickBot="1">
      <c r="B165" s="291" t="s">
        <v>1190</v>
      </c>
      <c r="K165" s="356" t="s">
        <v>204</v>
      </c>
      <c r="L165" s="357">
        <f>SUM(L163:L164)</f>
        <v>35410</v>
      </c>
      <c r="M165" s="350"/>
      <c r="N165" s="357">
        <f>SUM(N163:N164)</f>
        <v>35410</v>
      </c>
      <c r="O165" s="357">
        <f>SUM(O163:O164)</f>
        <v>421.54761904761904</v>
      </c>
      <c r="P165" s="357">
        <f>SUM(P163:P164)</f>
        <v>0</v>
      </c>
      <c r="Q165" s="357">
        <f>SUM(Q163:Q164)</f>
        <v>0</v>
      </c>
      <c r="R165" s="357">
        <f>SUM(R163:R164)</f>
        <v>0</v>
      </c>
      <c r="S165" s="358"/>
      <c r="T165" s="357">
        <f>SUM(T163:T164)</f>
        <v>0</v>
      </c>
      <c r="U165" s="357">
        <f>SUM(U163:U164)</f>
        <v>35410</v>
      </c>
      <c r="V165" s="357">
        <f>SUM(V163:V164)</f>
        <v>19614.341980550562</v>
      </c>
      <c r="W165" s="358"/>
      <c r="X165" s="357">
        <f>SUM(X163:X164)</f>
        <v>19614.341980550562</v>
      </c>
      <c r="Y165" s="357">
        <f>SUM(Y163:Y164)</f>
        <v>19614.341980550562</v>
      </c>
      <c r="Z165" s="357">
        <f>SUM(Z163:Z164)</f>
        <v>0</v>
      </c>
      <c r="AA165" s="350"/>
      <c r="AB165" s="350"/>
      <c r="AC165" s="350"/>
      <c r="AD165" s="350"/>
      <c r="AE165" s="350"/>
      <c r="AF165" s="655">
        <f>SUM(AF163:AF164)</f>
        <v>15795.658019449442</v>
      </c>
      <c r="AG165" s="358"/>
      <c r="AH165" s="358"/>
      <c r="AI165" s="358"/>
      <c r="AJ165" s="358"/>
      <c r="AK165" s="358"/>
    </row>
    <row r="166" spans="1:37" ht="16.5" thickTop="1">
      <c r="B166" s="291"/>
      <c r="K166" s="356"/>
      <c r="L166" s="343"/>
      <c r="M166" s="350"/>
      <c r="N166" s="343"/>
      <c r="O166" s="343"/>
      <c r="P166" s="343"/>
      <c r="Q166" s="343"/>
      <c r="R166" s="343"/>
      <c r="S166" s="358"/>
      <c r="T166" s="343"/>
      <c r="U166" s="343"/>
      <c r="V166" s="343"/>
      <c r="W166" s="358"/>
      <c r="X166" s="343"/>
      <c r="Y166" s="343"/>
      <c r="Z166" s="343"/>
      <c r="AA166" s="350"/>
      <c r="AB166" s="350"/>
      <c r="AC166" s="350"/>
      <c r="AD166" s="350"/>
      <c r="AE166" s="350"/>
      <c r="AF166" s="350"/>
      <c r="AG166" s="358"/>
      <c r="AH166" s="358"/>
      <c r="AI166" s="358"/>
      <c r="AJ166" s="358"/>
      <c r="AK166" s="358"/>
    </row>
    <row r="167" spans="1:37">
      <c r="B167" s="291" t="s">
        <v>1191</v>
      </c>
      <c r="K167" s="356"/>
      <c r="L167" s="343"/>
      <c r="M167" s="350"/>
      <c r="N167" s="343"/>
      <c r="O167" s="343"/>
      <c r="P167" s="343"/>
      <c r="Q167" s="343"/>
      <c r="R167" s="343"/>
      <c r="S167" s="358"/>
      <c r="T167" s="343"/>
      <c r="U167" s="343"/>
      <c r="V167" s="343"/>
      <c r="W167" s="358"/>
      <c r="X167" s="343"/>
      <c r="Y167" s="343"/>
      <c r="Z167" s="343"/>
      <c r="AA167" s="350"/>
      <c r="AB167" s="350"/>
      <c r="AC167" s="350"/>
      <c r="AD167" s="350"/>
      <c r="AE167" s="350"/>
      <c r="AF167" s="350"/>
      <c r="AG167" s="358"/>
      <c r="AH167" s="358"/>
      <c r="AI167" s="358"/>
      <c r="AJ167" s="358"/>
      <c r="AK167" s="358"/>
    </row>
    <row r="168" spans="1:37">
      <c r="A168" s="821"/>
      <c r="B168" s="289" t="s">
        <v>637</v>
      </c>
      <c r="C168" s="289">
        <v>2009</v>
      </c>
      <c r="D168" s="289">
        <f>+C168-1900</f>
        <v>109</v>
      </c>
      <c r="E168" s="289">
        <v>2</v>
      </c>
      <c r="F168" s="351">
        <v>0</v>
      </c>
      <c r="G168" s="344" t="s">
        <v>169</v>
      </c>
      <c r="H168" s="289">
        <v>5</v>
      </c>
      <c r="I168" s="289">
        <f>D168+H168</f>
        <v>114</v>
      </c>
      <c r="L168" s="350">
        <v>37713</v>
      </c>
      <c r="M168" s="350">
        <v>0</v>
      </c>
      <c r="N168" s="350">
        <f t="shared" ref="N168:N170" si="161">L168-(+L168*F168)</f>
        <v>37713</v>
      </c>
      <c r="O168" s="350">
        <f t="shared" ref="O168:O170" si="162">N168/H168/12</f>
        <v>628.55000000000007</v>
      </c>
      <c r="P168" s="350">
        <f t="shared" ref="P168:P170" si="163">IF(Q168&gt;0,0,IF(OR(AA168&gt;AB168,AC168&lt;AD168),0,IF(AND(AC168&gt;=AD168,AC168&lt;=AB168),O168*((AC168-AD168)*12),IF(AND(AD168&lt;=AA168,AB168&gt;=AA168),((AB168-AA168)*12)*O168,IF(AC168&gt;AB168,12*O168,0)))))</f>
        <v>0</v>
      </c>
      <c r="Q168" s="350">
        <f t="shared" ref="Q168:Q170" si="164">IF(M168=0,0,IF(AND(AE168&gt;=AD168,AE168&lt;=AC168),((AE168-AD168)*12)*O168,0))</f>
        <v>0</v>
      </c>
      <c r="R168" s="350">
        <f t="shared" ref="R168:R170" si="165">IF(Q168&gt;0,Q168,P168)</f>
        <v>0</v>
      </c>
      <c r="S168" s="352">
        <f>+'WP-11 - Non-Regulated'!$K$40</f>
        <v>0.5539209822239638</v>
      </c>
      <c r="T168" s="350">
        <f t="shared" ref="T168:T170" si="166">S168*SUM(P168:Q168)</f>
        <v>0</v>
      </c>
      <c r="U168" s="350">
        <f t="shared" ref="U168:U170" si="167">IF(AA168&gt;AB168,0,IF(AC168&lt;AD168,N168,IF(AND(AC168&gt;=AD168,AC168&lt;=AB168),(N168-R168),IF(AND(AD168&lt;=AA168,AB168&gt;=AA168),0,IF(AC168&gt;AB168,((AD168-AA168)*12)*O168,0)))))</f>
        <v>37713</v>
      </c>
      <c r="V168" s="350">
        <f t="shared" ref="V168:V170" si="168">U168*S168</f>
        <v>20890.022002612346</v>
      </c>
      <c r="W168" s="352">
        <v>1</v>
      </c>
      <c r="X168" s="350">
        <f t="shared" ref="X168:X170" si="169">V168*W168</f>
        <v>20890.022002612346</v>
      </c>
      <c r="Y168" s="350">
        <f t="shared" ref="Y168:Y170" si="170">IF(M168&gt;0,0,X168+T168*W168)*W168</f>
        <v>20890.022002612346</v>
      </c>
      <c r="Z168" s="350">
        <f t="shared" ref="Z168:Z177" si="171">IF((N168-((AB168-AA168)*12*O168))&lt;0,0,(N168-((AB168-AA168)*12*(O168)))*S168)</f>
        <v>0</v>
      </c>
      <c r="AA168" s="350">
        <f t="shared" ref="AA168:AA179" si="172">$D168+(($E168-1)/12)</f>
        <v>109.08333333333333</v>
      </c>
      <c r="AB168" s="350">
        <f t="shared" si="115"/>
        <v>124</v>
      </c>
      <c r="AC168" s="350">
        <f t="shared" ref="AC168:AC179" si="173">$I168+(($E168-1)/12)</f>
        <v>114.08333333333333</v>
      </c>
      <c r="AD168" s="350">
        <f t="shared" si="116"/>
        <v>123</v>
      </c>
      <c r="AE168" s="350">
        <f t="shared" ref="AE168:AE179" si="174">$J168+(($K168-1)/12)</f>
        <v>-8.3333333333333329E-2</v>
      </c>
      <c r="AF168" s="350">
        <f t="shared" ref="AF168:AF170" si="175">L168-((X168+Y168)/2)-Z168</f>
        <v>16822.977997387654</v>
      </c>
    </row>
    <row r="169" spans="1:37">
      <c r="A169" s="821"/>
      <c r="B169" s="289" t="s">
        <v>636</v>
      </c>
      <c r="C169" s="289">
        <v>2009</v>
      </c>
      <c r="D169" s="289">
        <f t="shared" ref="D169:D179" si="176">+C169-1900</f>
        <v>109</v>
      </c>
      <c r="E169" s="289">
        <v>10</v>
      </c>
      <c r="F169" s="351">
        <v>0</v>
      </c>
      <c r="G169" s="344" t="s">
        <v>169</v>
      </c>
      <c r="H169" s="289">
        <v>5</v>
      </c>
      <c r="I169" s="289">
        <f t="shared" ref="I169:I179" si="177">D169+H169</f>
        <v>114</v>
      </c>
      <c r="L169" s="350">
        <v>18801</v>
      </c>
      <c r="M169" s="350">
        <v>0</v>
      </c>
      <c r="N169" s="359">
        <f t="shared" si="161"/>
        <v>18801</v>
      </c>
      <c r="O169" s="359">
        <f t="shared" si="162"/>
        <v>313.34999999999997</v>
      </c>
      <c r="P169" s="359">
        <f t="shared" si="163"/>
        <v>0</v>
      </c>
      <c r="Q169" s="350">
        <f t="shared" si="164"/>
        <v>0</v>
      </c>
      <c r="R169" s="359">
        <f t="shared" si="165"/>
        <v>0</v>
      </c>
      <c r="S169" s="352">
        <f>+'WP-11 - Non-Regulated'!$K$40</f>
        <v>0.5539209822239638</v>
      </c>
      <c r="T169" s="350">
        <f t="shared" si="166"/>
        <v>0</v>
      </c>
      <c r="U169" s="359">
        <f t="shared" si="167"/>
        <v>18801</v>
      </c>
      <c r="V169" s="359">
        <f t="shared" si="168"/>
        <v>10414.268386792743</v>
      </c>
      <c r="W169" s="352">
        <v>1</v>
      </c>
      <c r="X169" s="359">
        <f t="shared" si="169"/>
        <v>10414.268386792743</v>
      </c>
      <c r="Y169" s="359">
        <f t="shared" si="170"/>
        <v>10414.268386792743</v>
      </c>
      <c r="Z169" s="350">
        <f t="shared" si="171"/>
        <v>0</v>
      </c>
      <c r="AA169" s="350">
        <f t="shared" si="172"/>
        <v>109.75</v>
      </c>
      <c r="AB169" s="350">
        <f t="shared" si="145"/>
        <v>124</v>
      </c>
      <c r="AC169" s="350">
        <f t="shared" si="173"/>
        <v>114.75</v>
      </c>
      <c r="AD169" s="350">
        <f t="shared" si="146"/>
        <v>123</v>
      </c>
      <c r="AE169" s="350">
        <f t="shared" si="174"/>
        <v>-8.3333333333333329E-2</v>
      </c>
      <c r="AF169" s="350">
        <f t="shared" si="175"/>
        <v>8386.7316132072574</v>
      </c>
    </row>
    <row r="170" spans="1:37">
      <c r="A170" s="821"/>
      <c r="B170" s="289" t="s">
        <v>634</v>
      </c>
      <c r="C170" s="289">
        <v>2011</v>
      </c>
      <c r="D170" s="289">
        <f t="shared" si="176"/>
        <v>111</v>
      </c>
      <c r="E170" s="289">
        <v>6</v>
      </c>
      <c r="F170" s="351">
        <v>0</v>
      </c>
      <c r="G170" s="344" t="s">
        <v>169</v>
      </c>
      <c r="H170" s="289">
        <v>7</v>
      </c>
      <c r="I170" s="289">
        <f t="shared" si="177"/>
        <v>118</v>
      </c>
      <c r="L170" s="350">
        <v>146137</v>
      </c>
      <c r="M170" s="350">
        <v>0</v>
      </c>
      <c r="N170" s="350">
        <f t="shared" si="161"/>
        <v>146137</v>
      </c>
      <c r="O170" s="350">
        <f t="shared" si="162"/>
        <v>1739.7261904761906</v>
      </c>
      <c r="P170" s="350">
        <f t="shared" si="163"/>
        <v>0</v>
      </c>
      <c r="Q170" s="350">
        <f t="shared" si="164"/>
        <v>0</v>
      </c>
      <c r="R170" s="350">
        <f t="shared" si="165"/>
        <v>0</v>
      </c>
      <c r="S170" s="352">
        <f>+'WP-11 - Non-Regulated'!$K$40</f>
        <v>0.5539209822239638</v>
      </c>
      <c r="T170" s="350">
        <f t="shared" si="166"/>
        <v>0</v>
      </c>
      <c r="U170" s="350">
        <f t="shared" si="167"/>
        <v>146137</v>
      </c>
      <c r="V170" s="350">
        <f t="shared" si="168"/>
        <v>80948.350579263395</v>
      </c>
      <c r="W170" s="352">
        <v>1</v>
      </c>
      <c r="X170" s="350">
        <f t="shared" si="169"/>
        <v>80948.350579263395</v>
      </c>
      <c r="Y170" s="350">
        <f t="shared" si="170"/>
        <v>80948.350579263395</v>
      </c>
      <c r="Z170" s="350">
        <f t="shared" si="171"/>
        <v>0</v>
      </c>
      <c r="AA170" s="350">
        <f t="shared" si="172"/>
        <v>111.41666666666667</v>
      </c>
      <c r="AB170" s="350">
        <f t="shared" si="115"/>
        <v>124</v>
      </c>
      <c r="AC170" s="350">
        <f t="shared" si="173"/>
        <v>118.41666666666667</v>
      </c>
      <c r="AD170" s="350">
        <f t="shared" si="116"/>
        <v>123</v>
      </c>
      <c r="AE170" s="350">
        <f t="shared" si="174"/>
        <v>-8.3333333333333329E-2</v>
      </c>
      <c r="AF170" s="350">
        <f t="shared" si="175"/>
        <v>65188.649420736605</v>
      </c>
    </row>
    <row r="171" spans="1:37">
      <c r="B171" s="289" t="s">
        <v>623</v>
      </c>
      <c r="C171" s="289">
        <v>2017</v>
      </c>
      <c r="D171" s="289">
        <f t="shared" si="176"/>
        <v>117</v>
      </c>
      <c r="E171" s="289">
        <v>4</v>
      </c>
      <c r="F171" s="351">
        <v>0</v>
      </c>
      <c r="G171" s="344" t="s">
        <v>169</v>
      </c>
      <c r="H171" s="289">
        <v>5</v>
      </c>
      <c r="I171" s="289">
        <f t="shared" si="177"/>
        <v>122</v>
      </c>
      <c r="L171" s="350">
        <v>95503.12</v>
      </c>
      <c r="M171" s="350">
        <v>0</v>
      </c>
      <c r="N171" s="350">
        <f t="shared" ref="N171:N179" si="178">L171-(+L171*F171)</f>
        <v>95503.12</v>
      </c>
      <c r="O171" s="350">
        <f t="shared" ref="O171:O179" si="179">N171/H171/12</f>
        <v>1591.7186666666666</v>
      </c>
      <c r="P171" s="350">
        <f t="shared" ref="P171:P177" si="180">IF(Q171&gt;0,0,IF(OR(AA171&gt;AB171,AC171&lt;AD171),0,IF(AND(AC171&gt;=AD171,AC171&lt;=AB171),O171*((AC171-AD171)*12),IF(AND(AD171&lt;=AA171,AB171&gt;=AA171),((AB171-AA171)*12)*O171,IF(AC171&gt;AB171,12*O171,0)))))</f>
        <v>0</v>
      </c>
      <c r="Q171" s="350">
        <f t="shared" ref="Q171:Q177" si="181">IF(M171=0,0,IF(AND(AE171&gt;=AD171,AE171&lt;=AC171),((AE171-AD171)*12)*O171,0))</f>
        <v>0</v>
      </c>
      <c r="R171" s="350">
        <f t="shared" ref="R171:R177" si="182">IF(Q171&gt;0,Q171,P171)</f>
        <v>0</v>
      </c>
      <c r="S171" s="352">
        <f>+'WP-11 - Non-Regulated'!$K$40</f>
        <v>0.5539209822239638</v>
      </c>
      <c r="T171" s="350">
        <f t="shared" ref="T171:T177" si="183">S171*SUM(P171:Q171)</f>
        <v>0</v>
      </c>
      <c r="U171" s="350">
        <f t="shared" ref="U171:U177" si="184">IF(AA171&gt;AB171,0,IF(AC171&lt;AD171,N171,IF(AND(AC171&gt;=AD171,AC171&lt;=AB171),(N171-R171),IF(AND(AD171&lt;=AA171,AB171&gt;=AA171),0,IF(AC171&gt;AB171,((AD171-AA171)*12)*O171,0)))))</f>
        <v>95503.12</v>
      </c>
      <c r="V171" s="350">
        <f t="shared" ref="V171:V177" si="185">U171*S171</f>
        <v>52901.182035853082</v>
      </c>
      <c r="W171" s="352">
        <v>1</v>
      </c>
      <c r="X171" s="350">
        <f t="shared" ref="X171:X177" si="186">V171*W171</f>
        <v>52901.182035853082</v>
      </c>
      <c r="Y171" s="350">
        <f t="shared" ref="Y171:Y177" si="187">IF(M171&gt;0,0,X171+T171*W171)*W171</f>
        <v>52901.182035853082</v>
      </c>
      <c r="Z171" s="350">
        <f t="shared" si="171"/>
        <v>0</v>
      </c>
      <c r="AA171" s="350">
        <f t="shared" si="172"/>
        <v>117.25</v>
      </c>
      <c r="AB171" s="350">
        <f t="shared" si="115"/>
        <v>124</v>
      </c>
      <c r="AC171" s="350">
        <f t="shared" si="173"/>
        <v>122.25</v>
      </c>
      <c r="AD171" s="350">
        <f t="shared" si="116"/>
        <v>123</v>
      </c>
      <c r="AE171" s="350">
        <f t="shared" si="174"/>
        <v>-8.3333333333333329E-2</v>
      </c>
      <c r="AF171" s="350">
        <f t="shared" ref="AF171:AF177" si="188">L171-((X171+Y171)/2)-Z171</f>
        <v>42601.937964146913</v>
      </c>
    </row>
    <row r="172" spans="1:37">
      <c r="B172" s="828" t="s">
        <v>1192</v>
      </c>
      <c r="C172" s="289">
        <v>1999</v>
      </c>
      <c r="D172" s="289">
        <f t="shared" si="176"/>
        <v>99</v>
      </c>
      <c r="E172" s="289">
        <v>1</v>
      </c>
      <c r="F172" s="351">
        <v>0</v>
      </c>
      <c r="G172" s="344" t="s">
        <v>169</v>
      </c>
      <c r="H172" s="289">
        <v>7</v>
      </c>
      <c r="I172" s="289">
        <f t="shared" si="177"/>
        <v>106</v>
      </c>
      <c r="K172" s="356"/>
      <c r="L172" s="829">
        <v>8156</v>
      </c>
      <c r="M172" s="350">
        <v>0</v>
      </c>
      <c r="N172" s="359">
        <f t="shared" si="178"/>
        <v>8156</v>
      </c>
      <c r="O172" s="359">
        <f t="shared" si="179"/>
        <v>97.095238095238088</v>
      </c>
      <c r="P172" s="359">
        <f t="shared" si="180"/>
        <v>0</v>
      </c>
      <c r="Q172" s="350">
        <f t="shared" si="181"/>
        <v>0</v>
      </c>
      <c r="R172" s="359">
        <f t="shared" si="182"/>
        <v>0</v>
      </c>
      <c r="S172" s="352">
        <f>+'WP-11 - Non-Regulated'!$K$40</f>
        <v>0.5539209822239638</v>
      </c>
      <c r="T172" s="350">
        <f t="shared" si="183"/>
        <v>0</v>
      </c>
      <c r="U172" s="359">
        <f t="shared" si="184"/>
        <v>8156</v>
      </c>
      <c r="V172" s="359">
        <f t="shared" si="185"/>
        <v>4517.7795310186484</v>
      </c>
      <c r="W172" s="352">
        <v>1</v>
      </c>
      <c r="X172" s="359">
        <f t="shared" si="186"/>
        <v>4517.7795310186484</v>
      </c>
      <c r="Y172" s="359">
        <f t="shared" si="187"/>
        <v>4517.7795310186484</v>
      </c>
      <c r="Z172" s="350">
        <f t="shared" si="171"/>
        <v>0</v>
      </c>
      <c r="AA172" s="350">
        <f t="shared" si="172"/>
        <v>99</v>
      </c>
      <c r="AB172" s="350">
        <f t="shared" si="145"/>
        <v>124</v>
      </c>
      <c r="AC172" s="350">
        <f t="shared" si="173"/>
        <v>106</v>
      </c>
      <c r="AD172" s="350">
        <f t="shared" si="146"/>
        <v>123</v>
      </c>
      <c r="AE172" s="350">
        <f t="shared" si="174"/>
        <v>-8.3333333333333329E-2</v>
      </c>
      <c r="AF172" s="350">
        <f t="shared" si="188"/>
        <v>3638.2204689813516</v>
      </c>
      <c r="AG172" s="358"/>
      <c r="AH172" s="358"/>
      <c r="AI172" s="358"/>
      <c r="AJ172" s="358"/>
      <c r="AK172" s="358"/>
    </row>
    <row r="173" spans="1:37">
      <c r="B173" s="828" t="s">
        <v>1193</v>
      </c>
      <c r="C173" s="289">
        <v>2001</v>
      </c>
      <c r="D173" s="289">
        <f t="shared" si="176"/>
        <v>101</v>
      </c>
      <c r="E173" s="289">
        <v>1</v>
      </c>
      <c r="F173" s="351">
        <v>0</v>
      </c>
      <c r="G173" s="344" t="s">
        <v>169</v>
      </c>
      <c r="H173" s="289">
        <v>5</v>
      </c>
      <c r="I173" s="289">
        <f t="shared" si="177"/>
        <v>106</v>
      </c>
      <c r="K173" s="356"/>
      <c r="L173" s="829">
        <v>33374</v>
      </c>
      <c r="M173" s="350">
        <v>0</v>
      </c>
      <c r="N173" s="350">
        <f t="shared" si="178"/>
        <v>33374</v>
      </c>
      <c r="O173" s="350">
        <f t="shared" si="179"/>
        <v>556.23333333333335</v>
      </c>
      <c r="P173" s="350">
        <f t="shared" si="180"/>
        <v>0</v>
      </c>
      <c r="Q173" s="350">
        <f t="shared" si="181"/>
        <v>0</v>
      </c>
      <c r="R173" s="350">
        <f t="shared" si="182"/>
        <v>0</v>
      </c>
      <c r="S173" s="352">
        <f>+'WP-11 - Non-Regulated'!$K$40</f>
        <v>0.5539209822239638</v>
      </c>
      <c r="T173" s="350">
        <f t="shared" si="183"/>
        <v>0</v>
      </c>
      <c r="U173" s="350">
        <f t="shared" si="184"/>
        <v>33374</v>
      </c>
      <c r="V173" s="350">
        <f t="shared" si="185"/>
        <v>18486.558860742567</v>
      </c>
      <c r="W173" s="352">
        <v>1</v>
      </c>
      <c r="X173" s="350">
        <f t="shared" si="186"/>
        <v>18486.558860742567</v>
      </c>
      <c r="Y173" s="350">
        <f t="shared" si="187"/>
        <v>18486.558860742567</v>
      </c>
      <c r="Z173" s="350">
        <f t="shared" si="171"/>
        <v>0</v>
      </c>
      <c r="AA173" s="350">
        <f t="shared" si="172"/>
        <v>101</v>
      </c>
      <c r="AB173" s="350">
        <f t="shared" si="115"/>
        <v>124</v>
      </c>
      <c r="AC173" s="350">
        <f t="shared" si="173"/>
        <v>106</v>
      </c>
      <c r="AD173" s="350">
        <f t="shared" si="116"/>
        <v>123</v>
      </c>
      <c r="AE173" s="350">
        <f t="shared" si="174"/>
        <v>-8.3333333333333329E-2</v>
      </c>
      <c r="AF173" s="350">
        <f t="shared" si="188"/>
        <v>14887.441139257433</v>
      </c>
      <c r="AG173" s="358"/>
      <c r="AH173" s="358"/>
      <c r="AI173" s="358"/>
      <c r="AJ173" s="358"/>
      <c r="AK173" s="358"/>
    </row>
    <row r="174" spans="1:37">
      <c r="B174" s="828" t="s">
        <v>1194</v>
      </c>
      <c r="C174" s="289">
        <v>2002</v>
      </c>
      <c r="D174" s="289">
        <f t="shared" si="176"/>
        <v>102</v>
      </c>
      <c r="E174" s="289">
        <v>1</v>
      </c>
      <c r="F174" s="351">
        <v>0</v>
      </c>
      <c r="G174" s="344" t="s">
        <v>169</v>
      </c>
      <c r="H174" s="289">
        <v>5</v>
      </c>
      <c r="I174" s="289">
        <f t="shared" si="177"/>
        <v>107</v>
      </c>
      <c r="L174" s="829">
        <v>6909</v>
      </c>
      <c r="M174" s="350">
        <v>0</v>
      </c>
      <c r="N174" s="350">
        <f t="shared" si="178"/>
        <v>6909</v>
      </c>
      <c r="O174" s="350">
        <f t="shared" si="179"/>
        <v>115.14999999999999</v>
      </c>
      <c r="P174" s="350">
        <f t="shared" si="180"/>
        <v>0</v>
      </c>
      <c r="Q174" s="350">
        <f t="shared" si="181"/>
        <v>0</v>
      </c>
      <c r="R174" s="350">
        <f t="shared" si="182"/>
        <v>0</v>
      </c>
      <c r="S174" s="352">
        <f>+'WP-11 - Non-Regulated'!$K$40</f>
        <v>0.5539209822239638</v>
      </c>
      <c r="T174" s="350">
        <f t="shared" si="183"/>
        <v>0</v>
      </c>
      <c r="U174" s="350">
        <f t="shared" si="184"/>
        <v>6909</v>
      </c>
      <c r="V174" s="350">
        <f t="shared" si="185"/>
        <v>3827.040066185366</v>
      </c>
      <c r="W174" s="352">
        <v>1</v>
      </c>
      <c r="X174" s="350">
        <f t="shared" si="186"/>
        <v>3827.040066185366</v>
      </c>
      <c r="Y174" s="350">
        <f t="shared" si="187"/>
        <v>3827.040066185366</v>
      </c>
      <c r="Z174" s="350">
        <f t="shared" si="171"/>
        <v>0</v>
      </c>
      <c r="AA174" s="350">
        <f t="shared" si="172"/>
        <v>102</v>
      </c>
      <c r="AB174" s="350">
        <f t="shared" si="115"/>
        <v>124</v>
      </c>
      <c r="AC174" s="350">
        <f t="shared" si="173"/>
        <v>107</v>
      </c>
      <c r="AD174" s="350">
        <f t="shared" si="116"/>
        <v>123</v>
      </c>
      <c r="AE174" s="350">
        <f t="shared" si="174"/>
        <v>-8.3333333333333329E-2</v>
      </c>
      <c r="AF174" s="350">
        <f t="shared" si="188"/>
        <v>3081.959933814634</v>
      </c>
      <c r="AG174" s="350"/>
      <c r="AH174" s="350"/>
      <c r="AI174" s="350"/>
    </row>
    <row r="175" spans="1:37">
      <c r="B175" s="828" t="s">
        <v>1195</v>
      </c>
      <c r="C175" s="289">
        <v>2006</v>
      </c>
      <c r="D175" s="289">
        <f t="shared" si="176"/>
        <v>106</v>
      </c>
      <c r="E175" s="289">
        <v>1</v>
      </c>
      <c r="F175" s="351">
        <v>0</v>
      </c>
      <c r="G175" s="344" t="s">
        <v>169</v>
      </c>
      <c r="H175" s="289">
        <v>5</v>
      </c>
      <c r="I175" s="289">
        <f t="shared" si="177"/>
        <v>111</v>
      </c>
      <c r="L175" s="829">
        <v>30859</v>
      </c>
      <c r="M175" s="350">
        <v>0</v>
      </c>
      <c r="N175" s="359">
        <f t="shared" si="178"/>
        <v>30859</v>
      </c>
      <c r="O175" s="359">
        <f t="shared" si="179"/>
        <v>514.31666666666672</v>
      </c>
      <c r="P175" s="359">
        <f t="shared" si="180"/>
        <v>0</v>
      </c>
      <c r="Q175" s="350">
        <f t="shared" si="181"/>
        <v>0</v>
      </c>
      <c r="R175" s="359">
        <f t="shared" si="182"/>
        <v>0</v>
      </c>
      <c r="S175" s="352">
        <f>+'WP-11 - Non-Regulated'!$K$40</f>
        <v>0.5539209822239638</v>
      </c>
      <c r="T175" s="350">
        <f t="shared" si="183"/>
        <v>0</v>
      </c>
      <c r="U175" s="359">
        <f t="shared" si="184"/>
        <v>30859</v>
      </c>
      <c r="V175" s="359">
        <f t="shared" si="185"/>
        <v>17093.447590449297</v>
      </c>
      <c r="W175" s="352">
        <v>1</v>
      </c>
      <c r="X175" s="359">
        <f t="shared" si="186"/>
        <v>17093.447590449297</v>
      </c>
      <c r="Y175" s="359">
        <f t="shared" si="187"/>
        <v>17093.447590449297</v>
      </c>
      <c r="Z175" s="350">
        <f t="shared" si="171"/>
        <v>0</v>
      </c>
      <c r="AA175" s="350">
        <f t="shared" si="172"/>
        <v>106</v>
      </c>
      <c r="AB175" s="350">
        <f t="shared" si="145"/>
        <v>124</v>
      </c>
      <c r="AC175" s="350">
        <f t="shared" si="173"/>
        <v>111</v>
      </c>
      <c r="AD175" s="350">
        <f t="shared" si="146"/>
        <v>123</v>
      </c>
      <c r="AE175" s="350">
        <f t="shared" si="174"/>
        <v>-8.3333333333333329E-2</v>
      </c>
      <c r="AF175" s="350">
        <f t="shared" si="188"/>
        <v>13765.552409550703</v>
      </c>
      <c r="AG175" s="350"/>
      <c r="AH175" s="350"/>
      <c r="AI175" s="350"/>
    </row>
    <row r="176" spans="1:37">
      <c r="B176" s="828" t="s">
        <v>1196</v>
      </c>
      <c r="C176" s="289">
        <v>2006</v>
      </c>
      <c r="D176" s="289">
        <f t="shared" si="176"/>
        <v>106</v>
      </c>
      <c r="E176" s="289">
        <v>1</v>
      </c>
      <c r="F176" s="351">
        <v>0</v>
      </c>
      <c r="G176" s="344" t="s">
        <v>169</v>
      </c>
      <c r="H176" s="289">
        <v>5</v>
      </c>
      <c r="I176" s="289">
        <f t="shared" si="177"/>
        <v>111</v>
      </c>
      <c r="L176" s="829">
        <v>15071</v>
      </c>
      <c r="M176" s="350">
        <v>0</v>
      </c>
      <c r="N176" s="350">
        <f t="shared" si="178"/>
        <v>15071</v>
      </c>
      <c r="O176" s="350">
        <f t="shared" si="179"/>
        <v>251.18333333333331</v>
      </c>
      <c r="P176" s="350">
        <f t="shared" si="180"/>
        <v>0</v>
      </c>
      <c r="Q176" s="350">
        <f t="shared" si="181"/>
        <v>0</v>
      </c>
      <c r="R176" s="350">
        <f t="shared" si="182"/>
        <v>0</v>
      </c>
      <c r="S176" s="352">
        <f>+'WP-11 - Non-Regulated'!$K$40</f>
        <v>0.5539209822239638</v>
      </c>
      <c r="T176" s="350">
        <f t="shared" si="183"/>
        <v>0</v>
      </c>
      <c r="U176" s="350">
        <f t="shared" si="184"/>
        <v>15071</v>
      </c>
      <c r="V176" s="350">
        <f t="shared" si="185"/>
        <v>8348.1431230973576</v>
      </c>
      <c r="W176" s="352">
        <v>1</v>
      </c>
      <c r="X176" s="350">
        <f t="shared" si="186"/>
        <v>8348.1431230973576</v>
      </c>
      <c r="Y176" s="350">
        <f t="shared" si="187"/>
        <v>8348.1431230973576</v>
      </c>
      <c r="Z176" s="350">
        <f t="shared" si="171"/>
        <v>0</v>
      </c>
      <c r="AA176" s="350">
        <f t="shared" si="172"/>
        <v>106</v>
      </c>
      <c r="AB176" s="350">
        <f t="shared" si="115"/>
        <v>124</v>
      </c>
      <c r="AC176" s="350">
        <f t="shared" si="173"/>
        <v>111</v>
      </c>
      <c r="AD176" s="350">
        <f t="shared" si="116"/>
        <v>123</v>
      </c>
      <c r="AE176" s="350">
        <f t="shared" si="174"/>
        <v>-8.3333333333333329E-2</v>
      </c>
      <c r="AF176" s="350">
        <f t="shared" si="188"/>
        <v>6722.8568769026424</v>
      </c>
      <c r="AG176" s="350"/>
      <c r="AH176" s="350"/>
      <c r="AI176" s="350"/>
    </row>
    <row r="177" spans="2:37">
      <c r="B177" s="834" t="s">
        <v>1197</v>
      </c>
      <c r="C177" s="289">
        <v>2023</v>
      </c>
      <c r="D177" s="289">
        <f t="shared" si="176"/>
        <v>123</v>
      </c>
      <c r="E177" s="289">
        <v>12</v>
      </c>
      <c r="F177" s="351">
        <v>0</v>
      </c>
      <c r="G177" s="344" t="s">
        <v>169</v>
      </c>
      <c r="H177" s="289">
        <v>5</v>
      </c>
      <c r="I177" s="289">
        <f t="shared" si="177"/>
        <v>128</v>
      </c>
      <c r="L177" s="863">
        <v>6579.63</v>
      </c>
      <c r="M177" s="350">
        <v>0</v>
      </c>
      <c r="N177" s="350">
        <f t="shared" si="178"/>
        <v>6579.63</v>
      </c>
      <c r="O177" s="350">
        <f t="shared" si="179"/>
        <v>109.6605</v>
      </c>
      <c r="P177" s="350">
        <f t="shared" si="180"/>
        <v>109.66049999999376</v>
      </c>
      <c r="Q177" s="350">
        <f t="shared" si="181"/>
        <v>0</v>
      </c>
      <c r="R177" s="350">
        <f t="shared" si="182"/>
        <v>109.66049999999376</v>
      </c>
      <c r="S177" s="352">
        <f>+'WP-11 - Non-Regulated'!$K$40</f>
        <v>0.5539209822239638</v>
      </c>
      <c r="T177" s="350">
        <f t="shared" si="183"/>
        <v>60.743251871167523</v>
      </c>
      <c r="U177" s="350">
        <f t="shared" si="184"/>
        <v>0</v>
      </c>
      <c r="V177" s="350">
        <f t="shared" si="185"/>
        <v>0</v>
      </c>
      <c r="W177" s="352">
        <v>1</v>
      </c>
      <c r="X177" s="350">
        <f t="shared" si="186"/>
        <v>0</v>
      </c>
      <c r="Y177" s="350">
        <f t="shared" si="187"/>
        <v>60.743251871167523</v>
      </c>
      <c r="Z177" s="350">
        <f t="shared" si="171"/>
        <v>3583.8518603990915</v>
      </c>
      <c r="AA177" s="350">
        <f t="shared" si="172"/>
        <v>123.91666666666667</v>
      </c>
      <c r="AB177" s="350">
        <f t="shared" si="115"/>
        <v>124</v>
      </c>
      <c r="AC177" s="350">
        <f t="shared" si="173"/>
        <v>128.91666666666666</v>
      </c>
      <c r="AD177" s="350">
        <f t="shared" si="116"/>
        <v>123</v>
      </c>
      <c r="AE177" s="350">
        <f t="shared" si="174"/>
        <v>-8.3333333333333329E-2</v>
      </c>
      <c r="AF177" s="350">
        <f t="shared" si="188"/>
        <v>2965.4065136653253</v>
      </c>
      <c r="AG177" s="350"/>
      <c r="AH177" s="350"/>
      <c r="AI177" s="350"/>
    </row>
    <row r="178" spans="2:37">
      <c r="B178" s="865" t="s">
        <v>1277</v>
      </c>
      <c r="C178" s="289">
        <v>2024</v>
      </c>
      <c r="D178" s="289">
        <f t="shared" si="176"/>
        <v>124</v>
      </c>
      <c r="E178" s="289">
        <v>1</v>
      </c>
      <c r="F178" s="351">
        <v>0</v>
      </c>
      <c r="G178" s="344" t="s">
        <v>169</v>
      </c>
      <c r="H178" s="289">
        <v>5</v>
      </c>
      <c r="I178" s="289">
        <f t="shared" si="177"/>
        <v>129</v>
      </c>
      <c r="L178" s="864">
        <v>102166.26</v>
      </c>
      <c r="M178" s="350"/>
      <c r="N178" s="350">
        <f t="shared" si="178"/>
        <v>102166.26</v>
      </c>
      <c r="O178" s="350">
        <f t="shared" si="179"/>
        <v>1702.771</v>
      </c>
      <c r="P178" s="350">
        <f t="shared" ref="P178" si="189">IF(Q178&gt;0,0,IF(OR(AA178&gt;AB178,AC178&lt;AD178),0,IF(AND(AC178&gt;=AD178,AC178&lt;=AB178),O178*((AC178-AD178)*12),IF(AND(AD178&lt;=AA178,AB178&gt;=AA178),((AB178-AA178)*12)*O178,IF(AC178&gt;AB178,12*O178,0)))))</f>
        <v>0</v>
      </c>
      <c r="Q178" s="350">
        <f t="shared" ref="Q178" si="190">IF(M178=0,0,IF(AND(AE178&gt;=AD178,AE178&lt;=AC178),((AE178-AD178)*12)*O178,0))</f>
        <v>0</v>
      </c>
      <c r="R178" s="350">
        <f t="shared" ref="R178" si="191">IF(Q178&gt;0,Q178,P178)</f>
        <v>0</v>
      </c>
      <c r="S178" s="352">
        <f>+'WP-11 - Non-Regulated'!$K$40</f>
        <v>0.5539209822239638</v>
      </c>
      <c r="T178" s="350">
        <f t="shared" ref="T178" si="192">S178*SUM(P178:Q178)</f>
        <v>0</v>
      </c>
      <c r="U178" s="350">
        <f t="shared" ref="U178" si="193">IF(AA178&gt;AB178,0,IF(AC178&lt;AD178,N178,IF(AND(AC178&gt;=AD178,AC178&lt;=AB178),(N178-R178),IF(AND(AD178&lt;=AA178,AB178&gt;=AA178),0,IF(AC178&gt;AB178,((AD178-AA178)*12)*O178,0)))))</f>
        <v>0</v>
      </c>
      <c r="V178" s="350">
        <f t="shared" ref="V178" si="194">U178*S178</f>
        <v>0</v>
      </c>
      <c r="W178" s="352">
        <v>1</v>
      </c>
      <c r="X178" s="350">
        <f t="shared" ref="X178" si="195">V178*W178</f>
        <v>0</v>
      </c>
      <c r="Y178" s="350">
        <f t="shared" ref="Y178" si="196">IF(M178&gt;0,0,X178+T178*W178)*W178</f>
        <v>0</v>
      </c>
      <c r="Z178" s="350">
        <f t="shared" ref="Z178" si="197">IF((N178-((AB178-AA178)*12*O178))&lt;0,0,(N178-((AB178-AA178)*12*(O178)))*S178)</f>
        <v>56592.035089348858</v>
      </c>
      <c r="AA178" s="350">
        <f t="shared" si="172"/>
        <v>124</v>
      </c>
      <c r="AB178" s="350">
        <f t="shared" si="115"/>
        <v>124</v>
      </c>
      <c r="AC178" s="350">
        <f t="shared" si="173"/>
        <v>129</v>
      </c>
      <c r="AD178" s="350">
        <f t="shared" si="116"/>
        <v>123</v>
      </c>
      <c r="AE178" s="350">
        <f t="shared" si="174"/>
        <v>-8.3333333333333329E-2</v>
      </c>
      <c r="AF178" s="350">
        <f t="shared" ref="AF178" si="198">L178-((X178+Y178)/2)-Z178</f>
        <v>45574.224910651137</v>
      </c>
      <c r="AG178" s="350"/>
      <c r="AH178" s="350"/>
      <c r="AI178" s="350"/>
    </row>
    <row r="179" spans="2:37">
      <c r="B179" s="865" t="s">
        <v>1278</v>
      </c>
      <c r="C179" s="289">
        <v>2024</v>
      </c>
      <c r="D179" s="289">
        <f t="shared" si="176"/>
        <v>124</v>
      </c>
      <c r="E179" s="289">
        <v>5</v>
      </c>
      <c r="F179" s="351">
        <v>0</v>
      </c>
      <c r="G179" s="344" t="s">
        <v>169</v>
      </c>
      <c r="H179" s="289">
        <v>5</v>
      </c>
      <c r="I179" s="289">
        <f t="shared" si="177"/>
        <v>129</v>
      </c>
      <c r="L179" s="864">
        <v>115324.68</v>
      </c>
      <c r="M179" s="350"/>
      <c r="N179" s="350">
        <f t="shared" si="178"/>
        <v>115324.68</v>
      </c>
      <c r="O179" s="350">
        <f t="shared" si="179"/>
        <v>1922.0779999999997</v>
      </c>
      <c r="P179" s="350">
        <f t="shared" ref="P179" si="199">IF(Q179&gt;0,0,IF(OR(AA179&gt;AB179,AC179&lt;AD179),0,IF(AND(AC179&gt;=AD179,AC179&lt;=AB179),O179*((AC179-AD179)*12),IF(AND(AD179&lt;=AA179,AB179&gt;=AA179),((AB179-AA179)*12)*O179,IF(AC179&gt;AB179,12*O179,0)))))</f>
        <v>0</v>
      </c>
      <c r="Q179" s="350">
        <f t="shared" ref="Q179" si="200">IF(M179=0,0,IF(AND(AE179&gt;=AD179,AE179&lt;=AC179),((AE179-AD179)*12)*O179,0))</f>
        <v>0</v>
      </c>
      <c r="R179" s="350">
        <f t="shared" ref="R179" si="201">IF(Q179&gt;0,Q179,P179)</f>
        <v>0</v>
      </c>
      <c r="S179" s="352">
        <f>+'WP-11 - Non-Regulated'!$K$40</f>
        <v>0.5539209822239638</v>
      </c>
      <c r="T179" s="350">
        <f t="shared" ref="T179" si="202">S179*SUM(P179:Q179)</f>
        <v>0</v>
      </c>
      <c r="U179" s="350">
        <f t="shared" ref="U179" si="203">IF(AA179&gt;AB179,0,IF(AC179&lt;AD179,N179,IF(AND(AC179&gt;=AD179,AC179&lt;=AB179),(N179-R179),IF(AND(AD179&lt;=AA179,AB179&gt;=AA179),0,IF(AC179&gt;AB179,((AD179-AA179)*12)*O179,0)))))</f>
        <v>0</v>
      </c>
      <c r="V179" s="350">
        <f t="shared" ref="V179" si="204">U179*S179</f>
        <v>0</v>
      </c>
      <c r="W179" s="352">
        <v>1</v>
      </c>
      <c r="X179" s="350">
        <f t="shared" ref="X179" si="205">V179*W179</f>
        <v>0</v>
      </c>
      <c r="Y179" s="350">
        <f t="shared" ref="Y179" si="206">IF(M179&gt;0,0,X179+T179*W179)*W179</f>
        <v>0</v>
      </c>
      <c r="Z179" s="350">
        <f t="shared" ref="Z179" si="207">IF((N179-((AB179-AA179)*12*O179))&lt;0,0,(N179-((AB179-AA179)*12*(O179)))*S179)</f>
        <v>68139.47735494854</v>
      </c>
      <c r="AA179" s="350">
        <f t="shared" si="172"/>
        <v>124.33333333333333</v>
      </c>
      <c r="AB179" s="350">
        <f t="shared" si="115"/>
        <v>124</v>
      </c>
      <c r="AC179" s="350">
        <f t="shared" si="173"/>
        <v>129.33333333333334</v>
      </c>
      <c r="AD179" s="350">
        <f t="shared" si="116"/>
        <v>123</v>
      </c>
      <c r="AE179" s="350">
        <f t="shared" si="174"/>
        <v>-8.3333333333333329E-2</v>
      </c>
      <c r="AF179" s="350">
        <f t="shared" ref="AF179" si="208">L179-((X179+Y179)/2)-Z179</f>
        <v>47185.202645051453</v>
      </c>
      <c r="AG179" s="350"/>
      <c r="AH179" s="350"/>
      <c r="AI179" s="350"/>
    </row>
    <row r="180" spans="2:37">
      <c r="B180" s="817"/>
      <c r="F180" s="351"/>
      <c r="G180" s="344"/>
      <c r="L180" s="820"/>
      <c r="M180" s="350"/>
      <c r="N180" s="354"/>
      <c r="O180" s="354"/>
      <c r="P180" s="354"/>
      <c r="Q180" s="354"/>
      <c r="R180" s="354"/>
      <c r="S180" s="352"/>
      <c r="T180" s="354"/>
      <c r="U180" s="354"/>
      <c r="V180" s="354"/>
      <c r="W180" s="352"/>
      <c r="X180" s="354"/>
      <c r="Y180" s="354"/>
      <c r="Z180" s="354"/>
      <c r="AA180" s="350"/>
      <c r="AB180" s="350"/>
      <c r="AC180" s="350"/>
      <c r="AD180" s="350"/>
      <c r="AE180" s="350"/>
      <c r="AF180" s="354"/>
      <c r="AG180" s="350"/>
      <c r="AH180" s="350"/>
      <c r="AI180" s="350"/>
    </row>
    <row r="181" spans="2:37">
      <c r="B181" s="355" t="s">
        <v>170</v>
      </c>
      <c r="F181" s="351"/>
      <c r="G181" s="344"/>
      <c r="L181" s="350">
        <f>SUM(L168:L179)</f>
        <v>616593.68999999994</v>
      </c>
      <c r="M181" s="350"/>
      <c r="N181" s="350">
        <f>SUM(N168:N179)</f>
        <v>616593.68999999994</v>
      </c>
      <c r="O181" s="350">
        <f>SUM(O168:O179)</f>
        <v>9541.8329285714281</v>
      </c>
      <c r="P181" s="350">
        <f>SUM(P168:P177)</f>
        <v>109.66049999999376</v>
      </c>
      <c r="Q181" s="350">
        <f>SUM(Q168:Q177)</f>
        <v>0</v>
      </c>
      <c r="R181" s="350">
        <f>SUM(R168:R177)</f>
        <v>109.66049999999376</v>
      </c>
      <c r="S181" s="350"/>
      <c r="T181" s="350">
        <f>SUM(T168:T177)</f>
        <v>60.743251871167523</v>
      </c>
      <c r="U181" s="350">
        <f>SUM(U168:U177)</f>
        <v>392523.12</v>
      </c>
      <c r="V181" s="350">
        <f>SUM(V168:V177)</f>
        <v>217426.7921760148</v>
      </c>
      <c r="W181" s="350"/>
      <c r="X181" s="350">
        <f>SUM(X168:X177)</f>
        <v>217426.7921760148</v>
      </c>
      <c r="Y181" s="350">
        <f>SUM(Y168:Y177)</f>
        <v>217487.53542788597</v>
      </c>
      <c r="Z181" s="350">
        <f>SUM(Z168:Z177)</f>
        <v>3583.8518603990915</v>
      </c>
      <c r="AA181" s="350"/>
      <c r="AB181" s="350"/>
      <c r="AC181" s="350"/>
      <c r="AD181" s="350"/>
      <c r="AE181" s="350"/>
      <c r="AF181" s="350">
        <f>SUM(AF168:AF177)</f>
        <v>178061.73433765053</v>
      </c>
    </row>
    <row r="182" spans="2:37">
      <c r="F182" s="351"/>
      <c r="G182" s="344"/>
      <c r="L182" s="350"/>
      <c r="M182" s="350"/>
      <c r="N182" s="350"/>
      <c r="O182" s="350"/>
      <c r="P182" s="350"/>
      <c r="Q182" s="350"/>
      <c r="R182" s="350"/>
      <c r="S182" s="352"/>
      <c r="T182" s="350"/>
      <c r="U182" s="350"/>
      <c r="V182" s="350"/>
      <c r="W182" s="352"/>
      <c r="X182" s="350"/>
      <c r="Y182" s="350"/>
      <c r="Z182" s="350"/>
      <c r="AA182" s="350"/>
      <c r="AB182" s="350"/>
      <c r="AC182" s="350"/>
      <c r="AD182" s="350"/>
      <c r="AE182" s="350"/>
      <c r="AF182" s="350"/>
    </row>
    <row r="183" spans="2:37" ht="16.5" thickBot="1">
      <c r="B183" s="291" t="s">
        <v>1198</v>
      </c>
      <c r="K183" s="356" t="s">
        <v>204</v>
      </c>
      <c r="L183" s="357">
        <f>SUM(L181:L182)</f>
        <v>616593.68999999994</v>
      </c>
      <c r="M183" s="350"/>
      <c r="N183" s="357">
        <f>SUM(N181:N182)</f>
        <v>616593.68999999994</v>
      </c>
      <c r="O183" s="357">
        <f>SUM(O181:O182)</f>
        <v>9541.8329285714281</v>
      </c>
      <c r="P183" s="357">
        <f>SUM(P181:P182)</f>
        <v>109.66049999999376</v>
      </c>
      <c r="Q183" s="357">
        <f>SUM(Q181:Q182)</f>
        <v>0</v>
      </c>
      <c r="R183" s="357">
        <f>SUM(R181:R182)</f>
        <v>109.66049999999376</v>
      </c>
      <c r="S183" s="358"/>
      <c r="T183" s="357">
        <f>SUM(T181:T182)</f>
        <v>60.743251871167523</v>
      </c>
      <c r="U183" s="357">
        <f>SUM(U181:U182)</f>
        <v>392523.12</v>
      </c>
      <c r="V183" s="357">
        <f>SUM(V181:V182)</f>
        <v>217426.7921760148</v>
      </c>
      <c r="W183" s="358"/>
      <c r="X183" s="357">
        <f>SUM(X181:X182)</f>
        <v>217426.7921760148</v>
      </c>
      <c r="Y183" s="357">
        <f>SUM(Y181:Y182)</f>
        <v>217487.53542788597</v>
      </c>
      <c r="Z183" s="357">
        <f>SUM(Z181:Z182)</f>
        <v>3583.8518603990915</v>
      </c>
      <c r="AA183" s="350"/>
      <c r="AB183" s="350"/>
      <c r="AC183" s="350"/>
      <c r="AD183" s="350"/>
      <c r="AE183" s="350"/>
      <c r="AF183" s="655">
        <f>SUM(AF181:AF182)</f>
        <v>178061.73433765053</v>
      </c>
      <c r="AG183" s="358"/>
      <c r="AH183" s="358"/>
      <c r="AI183" s="358"/>
      <c r="AJ183" s="358"/>
      <c r="AK183" s="358"/>
    </row>
    <row r="184" spans="2:37" ht="16.5" thickTop="1">
      <c r="B184" s="291"/>
      <c r="K184" s="356"/>
      <c r="L184" s="343"/>
      <c r="M184" s="350"/>
      <c r="N184" s="343"/>
      <c r="O184" s="343"/>
      <c r="P184" s="343"/>
      <c r="Q184" s="343"/>
      <c r="R184" s="343"/>
      <c r="S184" s="358"/>
      <c r="T184" s="343"/>
      <c r="U184" s="343"/>
      <c r="V184" s="343"/>
      <c r="W184" s="358"/>
      <c r="X184" s="343"/>
      <c r="Y184" s="343"/>
      <c r="Z184" s="343"/>
      <c r="AA184" s="350"/>
      <c r="AB184" s="350"/>
      <c r="AC184" s="350"/>
      <c r="AD184" s="350"/>
      <c r="AE184" s="350"/>
      <c r="AF184" s="350"/>
      <c r="AG184" s="358"/>
      <c r="AH184" s="358"/>
      <c r="AI184" s="358"/>
      <c r="AJ184" s="358"/>
      <c r="AK184" s="358"/>
    </row>
    <row r="185" spans="2:37">
      <c r="B185" s="291" t="s">
        <v>1199</v>
      </c>
      <c r="K185" s="356"/>
      <c r="L185" s="343"/>
      <c r="M185" s="350"/>
      <c r="N185" s="343"/>
      <c r="O185" s="343"/>
      <c r="P185" s="343"/>
      <c r="Q185" s="343"/>
      <c r="R185" s="343"/>
      <c r="S185" s="358"/>
      <c r="T185" s="343"/>
      <c r="U185" s="343"/>
      <c r="V185" s="343"/>
      <c r="W185" s="358"/>
      <c r="X185" s="343"/>
      <c r="Y185" s="343"/>
      <c r="Z185" s="343"/>
      <c r="AA185" s="350"/>
      <c r="AB185" s="350"/>
      <c r="AC185" s="350"/>
      <c r="AD185" s="350"/>
      <c r="AE185" s="350"/>
      <c r="AF185" s="350"/>
      <c r="AG185" s="358"/>
      <c r="AH185" s="358"/>
      <c r="AI185" s="358"/>
      <c r="AJ185" s="358"/>
      <c r="AK185" s="358"/>
    </row>
    <row r="186" spans="2:37">
      <c r="B186" s="353" t="s">
        <v>662</v>
      </c>
      <c r="C186" s="289">
        <v>2012</v>
      </c>
      <c r="D186" s="289">
        <f t="shared" ref="D186:D213" si="209">+C186-1900</f>
        <v>112</v>
      </c>
      <c r="E186" s="289">
        <v>4</v>
      </c>
      <c r="F186" s="351">
        <v>0</v>
      </c>
      <c r="G186" s="344" t="s">
        <v>169</v>
      </c>
      <c r="H186" s="289">
        <v>7</v>
      </c>
      <c r="I186" s="289">
        <f t="shared" ref="I186:I213" si="210">D186+H186</f>
        <v>119</v>
      </c>
      <c r="L186" s="576">
        <v>23015</v>
      </c>
      <c r="M186" s="350">
        <v>0</v>
      </c>
      <c r="N186" s="359">
        <f t="shared" ref="N186:N196" si="211">L186-(+L186*F186)</f>
        <v>23015</v>
      </c>
      <c r="O186" s="359">
        <f t="shared" ref="O186:O196" si="212">N186/H186/12</f>
        <v>273.98809523809524</v>
      </c>
      <c r="P186" s="359">
        <f t="shared" ref="P186:P196" si="213">IF(Q186&gt;0,0,IF(OR(AA186&gt;AB186,AC186&lt;AD186),0,IF(AND(AC186&gt;=AD186,AC186&lt;=AB186),O186*((AC186-AD186)*12),IF(AND(AD186&lt;=AA186,AB186&gt;=AA186),((AB186-AA186)*12)*O186,IF(AC186&gt;AB186,12*O186,0)))))</f>
        <v>0</v>
      </c>
      <c r="Q186" s="350">
        <f t="shared" ref="Q186:Q196" si="214">IF(M186=0,0,IF(AND(AE186&gt;=AD186,AE186&lt;=AC186),((AE186-AD186)*12)*O186,0))</f>
        <v>0</v>
      </c>
      <c r="R186" s="359">
        <f t="shared" ref="R186:R196" si="215">IF(Q186&gt;0,Q186,P186)</f>
        <v>0</v>
      </c>
      <c r="S186" s="352">
        <f>+'WP-11 - Non-Regulated'!$K$40</f>
        <v>0.5539209822239638</v>
      </c>
      <c r="T186" s="350">
        <f t="shared" ref="T186:T196" si="216">S186*SUM(P186:Q186)</f>
        <v>0</v>
      </c>
      <c r="U186" s="359">
        <f t="shared" ref="U186:U196" si="217">IF(AA186&gt;AB186,0,IF(AC186&lt;AD186,N186,IF(AND(AC186&gt;=AD186,AC186&lt;=AB186),(N186-R186),IF(AND(AD186&lt;=AA186,AB186&gt;=AA186),0,IF(AC186&gt;AB186,((AD186-AA186)*12)*O186,0)))))</f>
        <v>23015</v>
      </c>
      <c r="V186" s="359">
        <f t="shared" ref="V186:V196" si="218">U186*S186</f>
        <v>12748.491405884526</v>
      </c>
      <c r="W186" s="352">
        <v>1</v>
      </c>
      <c r="X186" s="359">
        <f t="shared" ref="X186:X196" si="219">V186*W186</f>
        <v>12748.491405884526</v>
      </c>
      <c r="Y186" s="359">
        <f t="shared" ref="Y186:Y196" si="220">IF(M186&gt;0,0,X186+T186*W186)*W186</f>
        <v>12748.491405884526</v>
      </c>
      <c r="Z186" s="350">
        <f t="shared" ref="Z186:Z211" si="221">IF((N186-((AB186-AA186)*12*O186))&lt;0,0,(N186-((AB186-AA186)*12*(O186)))*S186)</f>
        <v>0</v>
      </c>
      <c r="AA186" s="350">
        <f t="shared" ref="AA186:AA196" si="222">$D186+(($E186-1)/12)</f>
        <v>112.25</v>
      </c>
      <c r="AB186" s="350">
        <f t="shared" si="145"/>
        <v>124</v>
      </c>
      <c r="AC186" s="350">
        <f t="shared" ref="AC186:AC196" si="223">$I186+(($E186-1)/12)</f>
        <v>119.25</v>
      </c>
      <c r="AD186" s="350">
        <f t="shared" si="146"/>
        <v>123</v>
      </c>
      <c r="AE186" s="350">
        <f t="shared" ref="AE186:AE196" si="224">$J186+(($K186-1)/12)</f>
        <v>-8.3333333333333329E-2</v>
      </c>
      <c r="AF186" s="350">
        <f t="shared" ref="AF186:AF196" si="225">L186-((X186+Y186)/2)-Z186</f>
        <v>10266.508594115474</v>
      </c>
      <c r="AG186" s="350"/>
      <c r="AH186" s="350"/>
      <c r="AI186" s="350"/>
    </row>
    <row r="187" spans="2:37">
      <c r="B187" s="353" t="s">
        <v>663</v>
      </c>
      <c r="C187" s="289">
        <v>2019</v>
      </c>
      <c r="D187" s="289">
        <f t="shared" si="209"/>
        <v>119</v>
      </c>
      <c r="E187" s="289">
        <v>1</v>
      </c>
      <c r="F187" s="351">
        <v>0</v>
      </c>
      <c r="G187" s="344" t="s">
        <v>169</v>
      </c>
      <c r="H187" s="289">
        <v>7</v>
      </c>
      <c r="I187" s="289">
        <f t="shared" si="210"/>
        <v>126</v>
      </c>
      <c r="L187" s="576">
        <v>14950</v>
      </c>
      <c r="M187" s="350">
        <v>0</v>
      </c>
      <c r="N187" s="359">
        <f t="shared" si="211"/>
        <v>14950</v>
      </c>
      <c r="O187" s="359">
        <f t="shared" si="212"/>
        <v>177.97619047619048</v>
      </c>
      <c r="P187" s="359">
        <f t="shared" si="213"/>
        <v>2135.7142857142858</v>
      </c>
      <c r="Q187" s="350">
        <f t="shared" si="214"/>
        <v>0</v>
      </c>
      <c r="R187" s="359">
        <f t="shared" si="215"/>
        <v>2135.7142857142858</v>
      </c>
      <c r="S187" s="352">
        <f>+'WP-11 - Non-Regulated'!$K$40</f>
        <v>0.5539209822239638</v>
      </c>
      <c r="T187" s="350">
        <f t="shared" si="216"/>
        <v>1183.0169548926085</v>
      </c>
      <c r="U187" s="359">
        <f t="shared" si="217"/>
        <v>8542.8571428571431</v>
      </c>
      <c r="V187" s="359">
        <f t="shared" si="218"/>
        <v>4732.067819570434</v>
      </c>
      <c r="W187" s="352">
        <v>1</v>
      </c>
      <c r="X187" s="359">
        <f t="shared" si="219"/>
        <v>4732.067819570434</v>
      </c>
      <c r="Y187" s="359">
        <f t="shared" si="220"/>
        <v>5915.0847744630428</v>
      </c>
      <c r="Z187" s="350">
        <f t="shared" si="221"/>
        <v>2366.0339097852166</v>
      </c>
      <c r="AA187" s="350">
        <f t="shared" si="222"/>
        <v>119</v>
      </c>
      <c r="AB187" s="350">
        <f t="shared" si="145"/>
        <v>124</v>
      </c>
      <c r="AC187" s="350">
        <f t="shared" si="223"/>
        <v>126</v>
      </c>
      <c r="AD187" s="350">
        <f t="shared" si="146"/>
        <v>123</v>
      </c>
      <c r="AE187" s="350">
        <f t="shared" si="224"/>
        <v>-8.3333333333333329E-2</v>
      </c>
      <c r="AF187" s="350">
        <f t="shared" si="225"/>
        <v>7260.3897931980455</v>
      </c>
      <c r="AG187" s="350"/>
      <c r="AH187" s="350"/>
      <c r="AI187" s="350"/>
    </row>
    <row r="188" spans="2:37">
      <c r="B188" s="353" t="s">
        <v>664</v>
      </c>
      <c r="C188" s="289">
        <v>2019</v>
      </c>
      <c r="D188" s="289">
        <f t="shared" si="209"/>
        <v>119</v>
      </c>
      <c r="E188" s="289">
        <v>1</v>
      </c>
      <c r="F188" s="351">
        <v>0</v>
      </c>
      <c r="G188" s="344" t="s">
        <v>169</v>
      </c>
      <c r="H188" s="289">
        <v>7</v>
      </c>
      <c r="I188" s="289">
        <f t="shared" si="210"/>
        <v>126</v>
      </c>
      <c r="L188" s="576">
        <v>15463</v>
      </c>
      <c r="M188" s="350">
        <v>0</v>
      </c>
      <c r="N188" s="359">
        <f t="shared" si="211"/>
        <v>15463</v>
      </c>
      <c r="O188" s="359">
        <f t="shared" si="212"/>
        <v>184.08333333333334</v>
      </c>
      <c r="P188" s="359">
        <f t="shared" si="213"/>
        <v>2209</v>
      </c>
      <c r="Q188" s="350">
        <f t="shared" si="214"/>
        <v>0</v>
      </c>
      <c r="R188" s="359">
        <f t="shared" si="215"/>
        <v>2209</v>
      </c>
      <c r="S188" s="352">
        <f>+'WP-11 - Non-Regulated'!$K$40</f>
        <v>0.5539209822239638</v>
      </c>
      <c r="T188" s="350">
        <f t="shared" si="216"/>
        <v>1223.611449732736</v>
      </c>
      <c r="U188" s="359">
        <f t="shared" si="217"/>
        <v>8836</v>
      </c>
      <c r="V188" s="359">
        <f t="shared" si="218"/>
        <v>4894.445798930944</v>
      </c>
      <c r="W188" s="352">
        <v>1</v>
      </c>
      <c r="X188" s="359">
        <f t="shared" si="219"/>
        <v>4894.445798930944</v>
      </c>
      <c r="Y188" s="359">
        <f t="shared" si="220"/>
        <v>6118.0572486636802</v>
      </c>
      <c r="Z188" s="350">
        <f t="shared" si="221"/>
        <v>2447.222899465472</v>
      </c>
      <c r="AA188" s="350">
        <f t="shared" si="222"/>
        <v>119</v>
      </c>
      <c r="AB188" s="350">
        <f t="shared" si="145"/>
        <v>124</v>
      </c>
      <c r="AC188" s="350">
        <f t="shared" si="223"/>
        <v>126</v>
      </c>
      <c r="AD188" s="350">
        <f t="shared" si="146"/>
        <v>123</v>
      </c>
      <c r="AE188" s="350">
        <f t="shared" si="224"/>
        <v>-8.3333333333333329E-2</v>
      </c>
      <c r="AF188" s="350">
        <f t="shared" si="225"/>
        <v>7509.5255767372146</v>
      </c>
      <c r="AG188" s="350"/>
      <c r="AH188" s="350"/>
      <c r="AI188" s="350"/>
    </row>
    <row r="189" spans="2:37">
      <c r="B189" s="353" t="s">
        <v>665</v>
      </c>
      <c r="C189" s="289">
        <v>2018</v>
      </c>
      <c r="D189" s="289">
        <f t="shared" si="209"/>
        <v>118</v>
      </c>
      <c r="E189" s="289">
        <v>10</v>
      </c>
      <c r="F189" s="351">
        <v>0</v>
      </c>
      <c r="G189" s="344" t="s">
        <v>169</v>
      </c>
      <c r="H189" s="289">
        <v>7</v>
      </c>
      <c r="I189" s="289">
        <f t="shared" si="210"/>
        <v>125</v>
      </c>
      <c r="L189" s="576">
        <v>180050</v>
      </c>
      <c r="M189" s="350">
        <v>0</v>
      </c>
      <c r="N189" s="359">
        <f t="shared" si="211"/>
        <v>180050</v>
      </c>
      <c r="O189" s="359">
        <f t="shared" si="212"/>
        <v>2143.4523809523812</v>
      </c>
      <c r="P189" s="359">
        <f t="shared" si="213"/>
        <v>25721.428571428572</v>
      </c>
      <c r="Q189" s="350">
        <f t="shared" si="214"/>
        <v>0</v>
      </c>
      <c r="R189" s="359">
        <f t="shared" si="215"/>
        <v>25721.428571428572</v>
      </c>
      <c r="S189" s="352">
        <f>+'WP-11 - Non-Regulated'!$K$40</f>
        <v>0.5539209822239638</v>
      </c>
      <c r="T189" s="350">
        <f t="shared" si="216"/>
        <v>14247.638978489242</v>
      </c>
      <c r="U189" s="359">
        <f t="shared" si="217"/>
        <v>109316.07142857143</v>
      </c>
      <c r="V189" s="359">
        <f t="shared" si="218"/>
        <v>60552.465658579276</v>
      </c>
      <c r="W189" s="352">
        <v>1</v>
      </c>
      <c r="X189" s="359">
        <f t="shared" si="219"/>
        <v>60552.465658579276</v>
      </c>
      <c r="Y189" s="359">
        <f t="shared" si="220"/>
        <v>74800.104637068522</v>
      </c>
      <c r="Z189" s="350">
        <f t="shared" si="221"/>
        <v>24933.368212356156</v>
      </c>
      <c r="AA189" s="350">
        <f t="shared" si="222"/>
        <v>118.75</v>
      </c>
      <c r="AB189" s="350">
        <f t="shared" si="145"/>
        <v>124</v>
      </c>
      <c r="AC189" s="350">
        <f t="shared" si="223"/>
        <v>125.75</v>
      </c>
      <c r="AD189" s="350">
        <f t="shared" si="146"/>
        <v>123</v>
      </c>
      <c r="AE189" s="350">
        <f t="shared" si="224"/>
        <v>-8.3333333333333329E-2</v>
      </c>
      <c r="AF189" s="350">
        <f t="shared" si="225"/>
        <v>87440.346639819938</v>
      </c>
      <c r="AG189" s="350"/>
      <c r="AH189" s="350"/>
      <c r="AI189" s="350"/>
    </row>
    <row r="190" spans="2:37">
      <c r="B190" s="353" t="s">
        <v>666</v>
      </c>
      <c r="C190" s="289">
        <v>2019</v>
      </c>
      <c r="D190" s="289">
        <f t="shared" si="209"/>
        <v>119</v>
      </c>
      <c r="E190" s="289">
        <v>3</v>
      </c>
      <c r="F190" s="351">
        <v>0</v>
      </c>
      <c r="G190" s="344" t="s">
        <v>169</v>
      </c>
      <c r="H190" s="289">
        <v>7</v>
      </c>
      <c r="I190" s="289">
        <f t="shared" si="210"/>
        <v>126</v>
      </c>
      <c r="L190" s="576">
        <v>21784.99</v>
      </c>
      <c r="M190" s="350">
        <v>0</v>
      </c>
      <c r="N190" s="359">
        <f t="shared" si="211"/>
        <v>21784.99</v>
      </c>
      <c r="O190" s="359">
        <f t="shared" si="212"/>
        <v>259.34511904761905</v>
      </c>
      <c r="P190" s="359">
        <f t="shared" si="213"/>
        <v>3112.1414285714286</v>
      </c>
      <c r="Q190" s="350">
        <f t="shared" si="214"/>
        <v>0</v>
      </c>
      <c r="R190" s="359">
        <f t="shared" si="215"/>
        <v>3112.1414285714286</v>
      </c>
      <c r="S190" s="352">
        <f>+'WP-11 - Non-Regulated'!$K$40</f>
        <v>0.5539209822239638</v>
      </c>
      <c r="T190" s="350">
        <f t="shared" si="216"/>
        <v>1723.8804369341756</v>
      </c>
      <c r="U190" s="359">
        <f t="shared" si="217"/>
        <v>11929.875476190462</v>
      </c>
      <c r="V190" s="359">
        <f t="shared" si="218"/>
        <v>6608.2083415809984</v>
      </c>
      <c r="W190" s="352">
        <v>1</v>
      </c>
      <c r="X190" s="359">
        <f t="shared" si="219"/>
        <v>6608.2083415809984</v>
      </c>
      <c r="Y190" s="359">
        <f t="shared" si="220"/>
        <v>8332.0887785151735</v>
      </c>
      <c r="Z190" s="350">
        <f t="shared" si="221"/>
        <v>3735.0742800240555</v>
      </c>
      <c r="AA190" s="350">
        <f t="shared" si="222"/>
        <v>119.16666666666667</v>
      </c>
      <c r="AB190" s="350">
        <f t="shared" si="145"/>
        <v>124</v>
      </c>
      <c r="AC190" s="350">
        <f t="shared" si="223"/>
        <v>126.16666666666667</v>
      </c>
      <c r="AD190" s="350">
        <f t="shared" si="146"/>
        <v>123</v>
      </c>
      <c r="AE190" s="350">
        <f t="shared" si="224"/>
        <v>-8.3333333333333329E-2</v>
      </c>
      <c r="AF190" s="350">
        <f t="shared" si="225"/>
        <v>10579.76715992786</v>
      </c>
      <c r="AG190" s="350"/>
      <c r="AH190" s="350"/>
      <c r="AI190" s="350"/>
    </row>
    <row r="191" spans="2:37">
      <c r="B191" s="353" t="s">
        <v>667</v>
      </c>
      <c r="C191" s="289">
        <v>2019</v>
      </c>
      <c r="D191" s="289">
        <f t="shared" si="209"/>
        <v>119</v>
      </c>
      <c r="E191" s="289">
        <v>8</v>
      </c>
      <c r="F191" s="351">
        <v>0</v>
      </c>
      <c r="G191" s="344" t="s">
        <v>169</v>
      </c>
      <c r="H191" s="289">
        <v>7</v>
      </c>
      <c r="I191" s="289">
        <f t="shared" si="210"/>
        <v>126</v>
      </c>
      <c r="L191" s="576">
        <v>17354.849999999999</v>
      </c>
      <c r="M191" s="350">
        <v>0</v>
      </c>
      <c r="N191" s="359">
        <f t="shared" si="211"/>
        <v>17354.849999999999</v>
      </c>
      <c r="O191" s="359">
        <f t="shared" si="212"/>
        <v>206.60535714285712</v>
      </c>
      <c r="P191" s="359">
        <f t="shared" si="213"/>
        <v>2479.2642857142855</v>
      </c>
      <c r="Q191" s="350">
        <f t="shared" si="214"/>
        <v>0</v>
      </c>
      <c r="R191" s="359">
        <f t="shared" si="215"/>
        <v>2479.2642857142855</v>
      </c>
      <c r="S191" s="352">
        <f>+S192</f>
        <v>0.41544073666797288</v>
      </c>
      <c r="T191" s="350">
        <f t="shared" si="216"/>
        <v>1029.9873812517383</v>
      </c>
      <c r="U191" s="359">
        <f t="shared" si="217"/>
        <v>8470.8196428571537</v>
      </c>
      <c r="V191" s="359">
        <f t="shared" si="218"/>
        <v>3519.1235526101109</v>
      </c>
      <c r="W191" s="352">
        <v>1</v>
      </c>
      <c r="X191" s="359">
        <f t="shared" si="219"/>
        <v>3519.1235526101109</v>
      </c>
      <c r="Y191" s="359">
        <f t="shared" si="220"/>
        <v>4549.1109338618489</v>
      </c>
      <c r="Z191" s="350">
        <f t="shared" si="221"/>
        <v>2660.8007349003192</v>
      </c>
      <c r="AA191" s="350">
        <f t="shared" si="222"/>
        <v>119.58333333333333</v>
      </c>
      <c r="AB191" s="350">
        <f t="shared" si="145"/>
        <v>124</v>
      </c>
      <c r="AC191" s="350">
        <f t="shared" si="223"/>
        <v>126.58333333333333</v>
      </c>
      <c r="AD191" s="350">
        <f t="shared" si="146"/>
        <v>123</v>
      </c>
      <c r="AE191" s="350">
        <f t="shared" si="224"/>
        <v>-8.3333333333333329E-2</v>
      </c>
      <c r="AF191" s="350">
        <f t="shared" si="225"/>
        <v>10659.9320218637</v>
      </c>
      <c r="AG191" s="350"/>
      <c r="AH191" s="350"/>
      <c r="AI191" s="350"/>
    </row>
    <row r="192" spans="2:37">
      <c r="B192" s="353" t="s">
        <v>668</v>
      </c>
      <c r="C192" s="289">
        <v>2019</v>
      </c>
      <c r="D192" s="289">
        <f t="shared" si="209"/>
        <v>119</v>
      </c>
      <c r="E192" s="289">
        <v>11</v>
      </c>
      <c r="F192" s="351">
        <v>0</v>
      </c>
      <c r="G192" s="344" t="s">
        <v>169</v>
      </c>
      <c r="H192" s="289">
        <v>7</v>
      </c>
      <c r="I192" s="289">
        <f t="shared" si="210"/>
        <v>126</v>
      </c>
      <c r="L192" s="576">
        <v>143016.29999999999</v>
      </c>
      <c r="M192" s="350">
        <v>0</v>
      </c>
      <c r="N192" s="359">
        <f t="shared" si="211"/>
        <v>143016.29999999999</v>
      </c>
      <c r="O192" s="359">
        <f t="shared" si="212"/>
        <v>1702.5749999999998</v>
      </c>
      <c r="P192" s="359">
        <f t="shared" si="213"/>
        <v>20430.899999999998</v>
      </c>
      <c r="Q192" s="350">
        <f t="shared" si="214"/>
        <v>0</v>
      </c>
      <c r="R192" s="359">
        <f t="shared" si="215"/>
        <v>20430.899999999998</v>
      </c>
      <c r="S192" s="352">
        <f>+S134</f>
        <v>0.41544073666797288</v>
      </c>
      <c r="T192" s="350">
        <f t="shared" si="216"/>
        <v>8487.8281467896868</v>
      </c>
      <c r="U192" s="359">
        <f t="shared" si="217"/>
        <v>64697.850000000093</v>
      </c>
      <c r="V192" s="359">
        <f t="shared" si="218"/>
        <v>26878.122464834047</v>
      </c>
      <c r="W192" s="352">
        <v>1</v>
      </c>
      <c r="X192" s="359">
        <f t="shared" si="219"/>
        <v>26878.122464834047</v>
      </c>
      <c r="Y192" s="359">
        <f t="shared" si="220"/>
        <v>35365.950611623732</v>
      </c>
      <c r="Z192" s="350">
        <f t="shared" si="221"/>
        <v>24048.84641590407</v>
      </c>
      <c r="AA192" s="350">
        <f t="shared" si="222"/>
        <v>119.83333333333333</v>
      </c>
      <c r="AB192" s="350">
        <f t="shared" si="145"/>
        <v>124</v>
      </c>
      <c r="AC192" s="350">
        <f t="shared" si="223"/>
        <v>126.83333333333333</v>
      </c>
      <c r="AD192" s="350">
        <f t="shared" si="146"/>
        <v>123</v>
      </c>
      <c r="AE192" s="350">
        <f t="shared" si="224"/>
        <v>-8.3333333333333329E-2</v>
      </c>
      <c r="AF192" s="350">
        <f t="shared" si="225"/>
        <v>87845.417045867027</v>
      </c>
      <c r="AG192" s="350"/>
      <c r="AH192" s="350"/>
      <c r="AI192" s="350"/>
    </row>
    <row r="193" spans="2:35">
      <c r="B193" s="353" t="s">
        <v>669</v>
      </c>
      <c r="C193" s="289">
        <v>2019</v>
      </c>
      <c r="D193" s="289">
        <f t="shared" si="209"/>
        <v>119</v>
      </c>
      <c r="E193" s="289">
        <v>10</v>
      </c>
      <c r="F193" s="351">
        <v>0</v>
      </c>
      <c r="G193" s="344" t="s">
        <v>169</v>
      </c>
      <c r="H193" s="289">
        <v>7</v>
      </c>
      <c r="I193" s="289">
        <f t="shared" si="210"/>
        <v>126</v>
      </c>
      <c r="L193" s="576">
        <v>11581.17</v>
      </c>
      <c r="M193" s="350">
        <v>0</v>
      </c>
      <c r="N193" s="359">
        <f t="shared" si="211"/>
        <v>11581.17</v>
      </c>
      <c r="O193" s="359">
        <f t="shared" si="212"/>
        <v>137.87107142857141</v>
      </c>
      <c r="P193" s="359">
        <f t="shared" si="213"/>
        <v>1654.4528571428568</v>
      </c>
      <c r="Q193" s="350">
        <f t="shared" si="214"/>
        <v>0</v>
      </c>
      <c r="R193" s="359">
        <f t="shared" si="215"/>
        <v>1654.4528571428568</v>
      </c>
      <c r="S193" s="352">
        <f>+'WP-11 - Non-Regulated'!$K$40</f>
        <v>0.5539209822239638</v>
      </c>
      <c r="T193" s="350">
        <f t="shared" si="216"/>
        <v>916.43615167181451</v>
      </c>
      <c r="U193" s="359">
        <f t="shared" si="217"/>
        <v>5376.971785714285</v>
      </c>
      <c r="V193" s="359">
        <f t="shared" si="218"/>
        <v>2978.4174929333972</v>
      </c>
      <c r="W193" s="352">
        <v>1</v>
      </c>
      <c r="X193" s="359">
        <f t="shared" si="219"/>
        <v>2978.4174929333972</v>
      </c>
      <c r="Y193" s="359">
        <f t="shared" si="220"/>
        <v>3894.8536446052117</v>
      </c>
      <c r="Z193" s="350">
        <f t="shared" si="221"/>
        <v>2520.1994170974908</v>
      </c>
      <c r="AA193" s="350">
        <f t="shared" si="222"/>
        <v>119.75</v>
      </c>
      <c r="AB193" s="350">
        <f t="shared" si="145"/>
        <v>124</v>
      </c>
      <c r="AC193" s="350">
        <f t="shared" si="223"/>
        <v>126.75</v>
      </c>
      <c r="AD193" s="350">
        <f t="shared" si="146"/>
        <v>123</v>
      </c>
      <c r="AE193" s="350">
        <f t="shared" si="224"/>
        <v>-8.3333333333333329E-2</v>
      </c>
      <c r="AF193" s="350">
        <f t="shared" si="225"/>
        <v>5624.3350141332048</v>
      </c>
      <c r="AG193" s="350"/>
      <c r="AH193" s="350"/>
      <c r="AI193" s="350"/>
    </row>
    <row r="194" spans="2:35">
      <c r="B194" s="353" t="s">
        <v>670</v>
      </c>
      <c r="C194" s="289">
        <v>2020</v>
      </c>
      <c r="D194" s="289">
        <f t="shared" si="209"/>
        <v>120</v>
      </c>
      <c r="E194" s="289">
        <v>2</v>
      </c>
      <c r="F194" s="351">
        <v>0</v>
      </c>
      <c r="G194" s="344" t="s">
        <v>169</v>
      </c>
      <c r="H194" s="289">
        <v>7</v>
      </c>
      <c r="I194" s="289">
        <f t="shared" si="210"/>
        <v>127</v>
      </c>
      <c r="L194" s="576">
        <v>5730</v>
      </c>
      <c r="M194" s="350">
        <v>0</v>
      </c>
      <c r="N194" s="359">
        <f t="shared" si="211"/>
        <v>5730</v>
      </c>
      <c r="O194" s="359">
        <f t="shared" si="212"/>
        <v>68.214285714285708</v>
      </c>
      <c r="P194" s="359">
        <f t="shared" si="213"/>
        <v>818.57142857142844</v>
      </c>
      <c r="Q194" s="350">
        <f t="shared" si="214"/>
        <v>0</v>
      </c>
      <c r="R194" s="359">
        <f t="shared" si="215"/>
        <v>818.57142857142844</v>
      </c>
      <c r="S194" s="352">
        <f>+'WP-11 - Non-Regulated'!$K$40</f>
        <v>0.5539209822239638</v>
      </c>
      <c r="T194" s="350">
        <f t="shared" si="216"/>
        <v>453.42388973475886</v>
      </c>
      <c r="U194" s="359">
        <f t="shared" si="217"/>
        <v>2387.5000000000036</v>
      </c>
      <c r="V194" s="359">
        <f t="shared" si="218"/>
        <v>1322.4863450597156</v>
      </c>
      <c r="W194" s="352">
        <v>1</v>
      </c>
      <c r="X194" s="359">
        <f t="shared" si="219"/>
        <v>1322.4863450597156</v>
      </c>
      <c r="Y194" s="359">
        <f t="shared" si="220"/>
        <v>1775.9102347944745</v>
      </c>
      <c r="Z194" s="350">
        <f t="shared" si="221"/>
        <v>1398.0569933488382</v>
      </c>
      <c r="AA194" s="350">
        <f t="shared" si="222"/>
        <v>120.08333333333333</v>
      </c>
      <c r="AB194" s="350">
        <f t="shared" si="145"/>
        <v>124</v>
      </c>
      <c r="AC194" s="350">
        <f t="shared" si="223"/>
        <v>127.08333333333333</v>
      </c>
      <c r="AD194" s="350">
        <f t="shared" si="146"/>
        <v>123</v>
      </c>
      <c r="AE194" s="350">
        <f t="shared" si="224"/>
        <v>-8.3333333333333329E-2</v>
      </c>
      <c r="AF194" s="350">
        <f t="shared" si="225"/>
        <v>2782.7447167240666</v>
      </c>
      <c r="AG194" s="350"/>
      <c r="AH194" s="350"/>
      <c r="AI194" s="350"/>
    </row>
    <row r="195" spans="2:35">
      <c r="B195" s="353" t="s">
        <v>671</v>
      </c>
      <c r="C195" s="289">
        <v>2020</v>
      </c>
      <c r="D195" s="289">
        <f t="shared" si="209"/>
        <v>120</v>
      </c>
      <c r="E195" s="289">
        <v>5</v>
      </c>
      <c r="F195" s="351">
        <v>0</v>
      </c>
      <c r="G195" s="344" t="s">
        <v>169</v>
      </c>
      <c r="H195" s="289">
        <v>7</v>
      </c>
      <c r="I195" s="289">
        <f t="shared" si="210"/>
        <v>127</v>
      </c>
      <c r="L195" s="576">
        <v>9321.75</v>
      </c>
      <c r="M195" s="350">
        <v>0</v>
      </c>
      <c r="N195" s="359">
        <f t="shared" si="211"/>
        <v>9321.75</v>
      </c>
      <c r="O195" s="359">
        <f t="shared" si="212"/>
        <v>110.97321428571428</v>
      </c>
      <c r="P195" s="359">
        <f t="shared" si="213"/>
        <v>1331.6785714285713</v>
      </c>
      <c r="Q195" s="350">
        <f t="shared" si="214"/>
        <v>0</v>
      </c>
      <c r="R195" s="359">
        <f t="shared" si="215"/>
        <v>1331.6785714285713</v>
      </c>
      <c r="S195" s="352">
        <f>+'WP-11 - Non-Regulated'!$K$40</f>
        <v>0.5539209822239638</v>
      </c>
      <c r="T195" s="350">
        <f t="shared" si="216"/>
        <v>737.64470229231915</v>
      </c>
      <c r="U195" s="359">
        <f t="shared" si="217"/>
        <v>3551.1428571428632</v>
      </c>
      <c r="V195" s="359">
        <f t="shared" si="218"/>
        <v>1967.0525394461879</v>
      </c>
      <c r="W195" s="352">
        <v>1</v>
      </c>
      <c r="X195" s="359">
        <f t="shared" si="219"/>
        <v>1967.0525394461879</v>
      </c>
      <c r="Y195" s="359">
        <f t="shared" si="220"/>
        <v>2704.6972417385068</v>
      </c>
      <c r="Z195" s="350">
        <f t="shared" si="221"/>
        <v>2458.8156743077275</v>
      </c>
      <c r="AA195" s="350">
        <f t="shared" si="222"/>
        <v>120.33333333333333</v>
      </c>
      <c r="AB195" s="350">
        <f t="shared" si="145"/>
        <v>124</v>
      </c>
      <c r="AC195" s="350">
        <f t="shared" si="223"/>
        <v>127.33333333333333</v>
      </c>
      <c r="AD195" s="350">
        <f t="shared" si="146"/>
        <v>123</v>
      </c>
      <c r="AE195" s="350">
        <f t="shared" si="224"/>
        <v>-8.3333333333333329E-2</v>
      </c>
      <c r="AF195" s="350">
        <f t="shared" si="225"/>
        <v>4527.0594350999254</v>
      </c>
      <c r="AG195" s="350"/>
      <c r="AH195" s="350"/>
      <c r="AI195" s="350"/>
    </row>
    <row r="196" spans="2:35">
      <c r="B196" s="353" t="s">
        <v>673</v>
      </c>
      <c r="C196" s="289">
        <v>2021</v>
      </c>
      <c r="D196" s="289">
        <f t="shared" si="209"/>
        <v>121</v>
      </c>
      <c r="E196" s="289">
        <v>4</v>
      </c>
      <c r="F196" s="351">
        <v>0</v>
      </c>
      <c r="G196" s="344" t="s">
        <v>169</v>
      </c>
      <c r="H196" s="289">
        <v>7</v>
      </c>
      <c r="I196" s="289">
        <f t="shared" si="210"/>
        <v>128</v>
      </c>
      <c r="L196" s="576">
        <v>4791.18</v>
      </c>
      <c r="M196" s="350">
        <v>0</v>
      </c>
      <c r="N196" s="359">
        <f t="shared" si="211"/>
        <v>4791.18</v>
      </c>
      <c r="O196" s="359">
        <f t="shared" si="212"/>
        <v>57.037857142857149</v>
      </c>
      <c r="P196" s="359">
        <f t="shared" si="213"/>
        <v>684.45428571428579</v>
      </c>
      <c r="Q196" s="350">
        <f t="shared" si="214"/>
        <v>0</v>
      </c>
      <c r="R196" s="359">
        <f t="shared" si="215"/>
        <v>684.45428571428579</v>
      </c>
      <c r="S196" s="352">
        <f>+'WP-11 - Non-Regulated'!$K$40</f>
        <v>0.5539209822239638</v>
      </c>
      <c r="T196" s="350">
        <f t="shared" si="216"/>
        <v>379.13359023025873</v>
      </c>
      <c r="U196" s="359">
        <f t="shared" si="217"/>
        <v>1197.7950000000001</v>
      </c>
      <c r="V196" s="359">
        <f t="shared" si="218"/>
        <v>663.48378290295273</v>
      </c>
      <c r="W196" s="352">
        <v>1</v>
      </c>
      <c r="X196" s="359">
        <f t="shared" si="219"/>
        <v>663.48378290295273</v>
      </c>
      <c r="Y196" s="359">
        <f t="shared" si="220"/>
        <v>1042.6173731332115</v>
      </c>
      <c r="Z196" s="350">
        <f t="shared" si="221"/>
        <v>1611.3177584785994</v>
      </c>
      <c r="AA196" s="350">
        <f t="shared" si="222"/>
        <v>121.25</v>
      </c>
      <c r="AB196" s="350">
        <f t="shared" si="145"/>
        <v>124</v>
      </c>
      <c r="AC196" s="350">
        <f t="shared" si="223"/>
        <v>128.25</v>
      </c>
      <c r="AD196" s="350">
        <f t="shared" si="146"/>
        <v>123</v>
      </c>
      <c r="AE196" s="350">
        <f t="shared" si="224"/>
        <v>-8.3333333333333329E-2</v>
      </c>
      <c r="AF196" s="350">
        <f t="shared" si="225"/>
        <v>2326.8116635033189</v>
      </c>
      <c r="AG196" s="350"/>
      <c r="AH196" s="350"/>
      <c r="AI196" s="350"/>
    </row>
    <row r="197" spans="2:35">
      <c r="B197" s="830" t="s">
        <v>1200</v>
      </c>
      <c r="C197" s="289">
        <v>2022</v>
      </c>
      <c r="D197" s="289">
        <f t="shared" si="209"/>
        <v>122</v>
      </c>
      <c r="E197" s="289">
        <v>10</v>
      </c>
      <c r="F197" s="351">
        <v>0</v>
      </c>
      <c r="G197" s="344" t="s">
        <v>169</v>
      </c>
      <c r="H197" s="289">
        <v>5</v>
      </c>
      <c r="I197" s="289">
        <f t="shared" si="210"/>
        <v>127</v>
      </c>
      <c r="L197" s="832">
        <v>4001.45</v>
      </c>
      <c r="M197" s="350">
        <v>0</v>
      </c>
      <c r="N197" s="359">
        <f t="shared" ref="N197:N208" si="226">L197-(+L197*F197)</f>
        <v>4001.45</v>
      </c>
      <c r="O197" s="359">
        <f t="shared" ref="O197:O208" si="227">N197/H197/12</f>
        <v>66.69083333333333</v>
      </c>
      <c r="P197" s="359">
        <f t="shared" ref="P197:P208" si="228">IF(Q197&gt;0,0,IF(OR(AA197&gt;AB197,AC197&lt;AD197),0,IF(AND(AC197&gt;=AD197,AC197&lt;=AB197),O197*((AC197-AD197)*12),IF(AND(AD197&lt;=AA197,AB197&gt;=AA197),((AB197-AA197)*12)*O197,IF(AC197&gt;AB197,12*O197,0)))))</f>
        <v>800.29</v>
      </c>
      <c r="Q197" s="350">
        <f t="shared" ref="Q197:Q208" si="229">IF(M197=0,0,IF(AND(AE197&gt;=AD197,AE197&lt;=AC197),((AE197-AD197)*12)*O197,0))</f>
        <v>0</v>
      </c>
      <c r="R197" s="359">
        <f t="shared" ref="R197:R208" si="230">IF(Q197&gt;0,Q197,P197)</f>
        <v>800.29</v>
      </c>
      <c r="S197" s="352">
        <f>+S134</f>
        <v>0.41544073666797288</v>
      </c>
      <c r="T197" s="350">
        <f t="shared" ref="T197:T208" si="231">S197*SUM(P197:Q197)</f>
        <v>332.47306714801198</v>
      </c>
      <c r="U197" s="359">
        <f t="shared" ref="U197:U208" si="232">IF(AA197&gt;AB197,0,IF(AC197&lt;AD197,N197,IF(AND(AC197&gt;=AD197,AC197&lt;=AB197),(N197-R197),IF(AND(AD197&lt;=AA197,AB197&gt;=AA197),0,IF(AC197&gt;AB197,((AD197-AA197)*12)*O197,0)))))</f>
        <v>200.07249999999999</v>
      </c>
      <c r="V197" s="359">
        <f t="shared" ref="V197:V208" si="233">U197*S197</f>
        <v>83.118266787002995</v>
      </c>
      <c r="W197" s="352">
        <v>1</v>
      </c>
      <c r="X197" s="359">
        <f t="shared" ref="X197:X208" si="234">V197*W197</f>
        <v>83.118266787002995</v>
      </c>
      <c r="Y197" s="359">
        <f t="shared" ref="Y197:Y208" si="235">IF(M197&gt;0,0,X197+T197*W197)*W197</f>
        <v>415.59133393501497</v>
      </c>
      <c r="Z197" s="350">
        <f t="shared" si="221"/>
        <v>1246.7740018050449</v>
      </c>
      <c r="AA197" s="350">
        <f t="shared" ref="AA197:AA213" si="236">$D197+(($E197-1)/12)</f>
        <v>122.75</v>
      </c>
      <c r="AB197" s="350">
        <f t="shared" si="145"/>
        <v>124</v>
      </c>
      <c r="AC197" s="350">
        <f t="shared" ref="AC197:AC213" si="237">$I197+(($E197-1)/12)</f>
        <v>127.75</v>
      </c>
      <c r="AD197" s="350">
        <f t="shared" si="146"/>
        <v>123</v>
      </c>
      <c r="AE197" s="350">
        <f t="shared" ref="AE197:AE213" si="238">$J197+(($K197-1)/12)</f>
        <v>-8.3333333333333329E-2</v>
      </c>
      <c r="AF197" s="350">
        <f t="shared" ref="AF197:AF208" si="239">L197-((X197+Y197)/2)-Z197</f>
        <v>2505.3211978339459</v>
      </c>
      <c r="AG197" s="350"/>
      <c r="AH197" s="350"/>
      <c r="AI197" s="350"/>
    </row>
    <row r="198" spans="2:35">
      <c r="B198" s="830" t="s">
        <v>1201</v>
      </c>
      <c r="C198" s="289">
        <v>2022</v>
      </c>
      <c r="D198" s="289">
        <f t="shared" si="209"/>
        <v>122</v>
      </c>
      <c r="E198" s="289">
        <v>10</v>
      </c>
      <c r="F198" s="351">
        <v>0</v>
      </c>
      <c r="G198" s="344" t="s">
        <v>169</v>
      </c>
      <c r="H198" s="289">
        <v>5</v>
      </c>
      <c r="I198" s="289">
        <f t="shared" si="210"/>
        <v>127</v>
      </c>
      <c r="L198" s="832">
        <v>7135.98</v>
      </c>
      <c r="M198" s="350">
        <v>0</v>
      </c>
      <c r="N198" s="359">
        <f t="shared" si="226"/>
        <v>7135.98</v>
      </c>
      <c r="O198" s="359">
        <f t="shared" si="227"/>
        <v>118.93299999999999</v>
      </c>
      <c r="P198" s="359">
        <f t="shared" si="228"/>
        <v>1427.1959999999999</v>
      </c>
      <c r="Q198" s="350">
        <f t="shared" si="229"/>
        <v>0</v>
      </c>
      <c r="R198" s="359">
        <f t="shared" si="230"/>
        <v>1427.1959999999999</v>
      </c>
      <c r="S198" s="352">
        <f>+S134</f>
        <v>0.41544073666797288</v>
      </c>
      <c r="T198" s="350">
        <f t="shared" si="231"/>
        <v>592.91535760958413</v>
      </c>
      <c r="U198" s="359">
        <f t="shared" si="232"/>
        <v>356.79899999999998</v>
      </c>
      <c r="V198" s="359">
        <f t="shared" si="233"/>
        <v>148.22883940239603</v>
      </c>
      <c r="W198" s="352">
        <v>1</v>
      </c>
      <c r="X198" s="359">
        <f t="shared" si="234"/>
        <v>148.22883940239603</v>
      </c>
      <c r="Y198" s="359">
        <f t="shared" si="235"/>
        <v>741.14419701198017</v>
      </c>
      <c r="Z198" s="350">
        <f t="shared" si="221"/>
        <v>2223.4325910359407</v>
      </c>
      <c r="AA198" s="350">
        <f t="shared" si="236"/>
        <v>122.75</v>
      </c>
      <c r="AB198" s="350">
        <f t="shared" si="145"/>
        <v>124</v>
      </c>
      <c r="AC198" s="350">
        <f t="shared" si="237"/>
        <v>127.75</v>
      </c>
      <c r="AD198" s="350">
        <f t="shared" si="146"/>
        <v>123</v>
      </c>
      <c r="AE198" s="350">
        <f t="shared" si="238"/>
        <v>-8.3333333333333329E-2</v>
      </c>
      <c r="AF198" s="350">
        <f t="shared" si="239"/>
        <v>4467.8608907568705</v>
      </c>
      <c r="AG198" s="350"/>
      <c r="AH198" s="350"/>
      <c r="AI198" s="350"/>
    </row>
    <row r="199" spans="2:35">
      <c r="B199" s="831" t="s">
        <v>1202</v>
      </c>
      <c r="C199" s="289">
        <v>1998</v>
      </c>
      <c r="D199" s="289">
        <f t="shared" si="209"/>
        <v>98</v>
      </c>
      <c r="E199" s="289">
        <v>1</v>
      </c>
      <c r="F199" s="351">
        <v>0</v>
      </c>
      <c r="G199" s="344" t="s">
        <v>169</v>
      </c>
      <c r="H199" s="289">
        <v>7</v>
      </c>
      <c r="I199" s="289">
        <f t="shared" si="210"/>
        <v>105</v>
      </c>
      <c r="L199" s="833">
        <v>585</v>
      </c>
      <c r="M199" s="350">
        <v>0</v>
      </c>
      <c r="N199" s="359">
        <f t="shared" si="226"/>
        <v>585</v>
      </c>
      <c r="O199" s="359">
        <f t="shared" si="227"/>
        <v>6.9642857142857144</v>
      </c>
      <c r="P199" s="359">
        <f t="shared" si="228"/>
        <v>0</v>
      </c>
      <c r="Q199" s="350">
        <f t="shared" si="229"/>
        <v>0</v>
      </c>
      <c r="R199" s="359">
        <f t="shared" si="230"/>
        <v>0</v>
      </c>
      <c r="S199" s="352">
        <f>+'WP-11 - Non-Regulated'!$K$40</f>
        <v>0.5539209822239638</v>
      </c>
      <c r="T199" s="350">
        <f t="shared" si="231"/>
        <v>0</v>
      </c>
      <c r="U199" s="359">
        <f t="shared" si="232"/>
        <v>585</v>
      </c>
      <c r="V199" s="359">
        <f t="shared" si="233"/>
        <v>324.04377460101881</v>
      </c>
      <c r="W199" s="352">
        <v>1</v>
      </c>
      <c r="X199" s="359">
        <f t="shared" si="234"/>
        <v>324.04377460101881</v>
      </c>
      <c r="Y199" s="359">
        <f t="shared" si="235"/>
        <v>324.04377460101881</v>
      </c>
      <c r="Z199" s="350">
        <f t="shared" si="221"/>
        <v>0</v>
      </c>
      <c r="AA199" s="350">
        <f t="shared" si="236"/>
        <v>98</v>
      </c>
      <c r="AB199" s="350">
        <f t="shared" si="145"/>
        <v>124</v>
      </c>
      <c r="AC199" s="350">
        <f t="shared" si="237"/>
        <v>105</v>
      </c>
      <c r="AD199" s="350">
        <f t="shared" si="146"/>
        <v>123</v>
      </c>
      <c r="AE199" s="350">
        <f t="shared" si="238"/>
        <v>-8.3333333333333329E-2</v>
      </c>
      <c r="AF199" s="350">
        <f t="shared" si="239"/>
        <v>260.95622539898119</v>
      </c>
      <c r="AG199" s="350"/>
      <c r="AH199" s="350"/>
      <c r="AI199" s="350"/>
    </row>
    <row r="200" spans="2:35">
      <c r="B200" s="831" t="s">
        <v>1203</v>
      </c>
      <c r="C200" s="289">
        <v>1999</v>
      </c>
      <c r="D200" s="289">
        <f t="shared" si="209"/>
        <v>99</v>
      </c>
      <c r="E200" s="289">
        <v>1</v>
      </c>
      <c r="F200" s="351">
        <v>0</v>
      </c>
      <c r="G200" s="344" t="s">
        <v>169</v>
      </c>
      <c r="H200" s="289">
        <v>7</v>
      </c>
      <c r="I200" s="289">
        <f t="shared" si="210"/>
        <v>106</v>
      </c>
      <c r="L200" s="833">
        <v>1703</v>
      </c>
      <c r="M200" s="350">
        <v>0</v>
      </c>
      <c r="N200" s="359">
        <f t="shared" si="226"/>
        <v>1703</v>
      </c>
      <c r="O200" s="359">
        <f t="shared" si="227"/>
        <v>20.273809523809522</v>
      </c>
      <c r="P200" s="359">
        <f t="shared" si="228"/>
        <v>0</v>
      </c>
      <c r="Q200" s="350">
        <f t="shared" si="229"/>
        <v>0</v>
      </c>
      <c r="R200" s="359">
        <f t="shared" si="230"/>
        <v>0</v>
      </c>
      <c r="S200" s="352">
        <f>+'WP-11 - Non-Regulated'!$K$40</f>
        <v>0.5539209822239638</v>
      </c>
      <c r="T200" s="350">
        <f t="shared" si="231"/>
        <v>0</v>
      </c>
      <c r="U200" s="359">
        <f t="shared" si="232"/>
        <v>1703</v>
      </c>
      <c r="V200" s="359">
        <f t="shared" si="233"/>
        <v>943.32743272741038</v>
      </c>
      <c r="W200" s="352">
        <v>1</v>
      </c>
      <c r="X200" s="359">
        <f t="shared" si="234"/>
        <v>943.32743272741038</v>
      </c>
      <c r="Y200" s="359">
        <f t="shared" si="235"/>
        <v>943.32743272741038</v>
      </c>
      <c r="Z200" s="350">
        <f t="shared" si="221"/>
        <v>0</v>
      </c>
      <c r="AA200" s="350">
        <f t="shared" si="236"/>
        <v>99</v>
      </c>
      <c r="AB200" s="350">
        <f t="shared" si="145"/>
        <v>124</v>
      </c>
      <c r="AC200" s="350">
        <f t="shared" si="237"/>
        <v>106</v>
      </c>
      <c r="AD200" s="350">
        <f t="shared" si="146"/>
        <v>123</v>
      </c>
      <c r="AE200" s="350">
        <f t="shared" si="238"/>
        <v>-8.3333333333333329E-2</v>
      </c>
      <c r="AF200" s="350">
        <f t="shared" si="239"/>
        <v>759.67256727258962</v>
      </c>
      <c r="AG200" s="350"/>
      <c r="AH200" s="350"/>
      <c r="AI200" s="350"/>
    </row>
    <row r="201" spans="2:35">
      <c r="B201" s="831" t="s">
        <v>1204</v>
      </c>
      <c r="C201" s="289">
        <v>2000</v>
      </c>
      <c r="D201" s="289">
        <f t="shared" si="209"/>
        <v>100</v>
      </c>
      <c r="E201" s="289">
        <v>1</v>
      </c>
      <c r="F201" s="351">
        <v>0</v>
      </c>
      <c r="G201" s="344" t="s">
        <v>169</v>
      </c>
      <c r="H201" s="289">
        <v>7</v>
      </c>
      <c r="I201" s="289">
        <f t="shared" si="210"/>
        <v>107</v>
      </c>
      <c r="L201" s="833">
        <v>98535</v>
      </c>
      <c r="M201" s="350">
        <v>0</v>
      </c>
      <c r="N201" s="359">
        <f t="shared" si="226"/>
        <v>98535</v>
      </c>
      <c r="O201" s="359">
        <f t="shared" si="227"/>
        <v>1173.0357142857142</v>
      </c>
      <c r="P201" s="359">
        <f t="shared" si="228"/>
        <v>0</v>
      </c>
      <c r="Q201" s="350">
        <f t="shared" si="229"/>
        <v>0</v>
      </c>
      <c r="R201" s="359">
        <f t="shared" si="230"/>
        <v>0</v>
      </c>
      <c r="S201" s="352">
        <f>+'WP-11 - Non-Regulated'!$K$40</f>
        <v>0.5539209822239638</v>
      </c>
      <c r="T201" s="350">
        <f t="shared" si="231"/>
        <v>0</v>
      </c>
      <c r="U201" s="359">
        <f t="shared" si="232"/>
        <v>98535</v>
      </c>
      <c r="V201" s="359">
        <f t="shared" si="233"/>
        <v>54580.603983438275</v>
      </c>
      <c r="W201" s="352">
        <v>1</v>
      </c>
      <c r="X201" s="359">
        <f t="shared" si="234"/>
        <v>54580.603983438275</v>
      </c>
      <c r="Y201" s="359">
        <f t="shared" si="235"/>
        <v>54580.603983438275</v>
      </c>
      <c r="Z201" s="350">
        <f t="shared" si="221"/>
        <v>0</v>
      </c>
      <c r="AA201" s="350">
        <f t="shared" si="236"/>
        <v>100</v>
      </c>
      <c r="AB201" s="350">
        <f t="shared" si="145"/>
        <v>124</v>
      </c>
      <c r="AC201" s="350">
        <f t="shared" si="237"/>
        <v>107</v>
      </c>
      <c r="AD201" s="350">
        <f t="shared" si="146"/>
        <v>123</v>
      </c>
      <c r="AE201" s="350">
        <f t="shared" si="238"/>
        <v>-8.3333333333333329E-2</v>
      </c>
      <c r="AF201" s="350">
        <f t="shared" si="239"/>
        <v>43954.396016561725</v>
      </c>
      <c r="AG201" s="350"/>
      <c r="AH201" s="350"/>
      <c r="AI201" s="350"/>
    </row>
    <row r="202" spans="2:35">
      <c r="B202" s="831" t="s">
        <v>1205</v>
      </c>
      <c r="C202" s="289">
        <v>2003</v>
      </c>
      <c r="D202" s="289">
        <f t="shared" si="209"/>
        <v>103</v>
      </c>
      <c r="E202" s="289">
        <v>1</v>
      </c>
      <c r="F202" s="351">
        <v>0</v>
      </c>
      <c r="G202" s="344" t="s">
        <v>169</v>
      </c>
      <c r="H202" s="289">
        <v>7</v>
      </c>
      <c r="I202" s="289">
        <f t="shared" si="210"/>
        <v>110</v>
      </c>
      <c r="L202" s="833">
        <v>2512</v>
      </c>
      <c r="M202" s="350">
        <v>0</v>
      </c>
      <c r="N202" s="359">
        <f t="shared" si="226"/>
        <v>2512</v>
      </c>
      <c r="O202" s="359">
        <f t="shared" si="227"/>
        <v>29.904761904761902</v>
      </c>
      <c r="P202" s="359">
        <f t="shared" si="228"/>
        <v>0</v>
      </c>
      <c r="Q202" s="350">
        <f t="shared" si="229"/>
        <v>0</v>
      </c>
      <c r="R202" s="359">
        <f t="shared" si="230"/>
        <v>0</v>
      </c>
      <c r="S202" s="352">
        <f>+'WP-11 - Non-Regulated'!$K$40</f>
        <v>0.5539209822239638</v>
      </c>
      <c r="T202" s="350">
        <f t="shared" si="231"/>
        <v>0</v>
      </c>
      <c r="U202" s="359">
        <f t="shared" si="232"/>
        <v>2512</v>
      </c>
      <c r="V202" s="359">
        <f t="shared" si="233"/>
        <v>1391.4495073465971</v>
      </c>
      <c r="W202" s="352">
        <v>1</v>
      </c>
      <c r="X202" s="359">
        <f t="shared" si="234"/>
        <v>1391.4495073465971</v>
      </c>
      <c r="Y202" s="359">
        <f t="shared" si="235"/>
        <v>1391.4495073465971</v>
      </c>
      <c r="Z202" s="350">
        <f t="shared" si="221"/>
        <v>0</v>
      </c>
      <c r="AA202" s="350">
        <f t="shared" si="236"/>
        <v>103</v>
      </c>
      <c r="AB202" s="350">
        <f t="shared" si="145"/>
        <v>124</v>
      </c>
      <c r="AC202" s="350">
        <f t="shared" si="237"/>
        <v>110</v>
      </c>
      <c r="AD202" s="350">
        <f t="shared" si="146"/>
        <v>123</v>
      </c>
      <c r="AE202" s="350">
        <f t="shared" si="238"/>
        <v>-8.3333333333333329E-2</v>
      </c>
      <c r="AF202" s="350">
        <f t="shared" si="239"/>
        <v>1120.5504926534029</v>
      </c>
      <c r="AG202" s="350"/>
      <c r="AH202" s="350"/>
      <c r="AI202" s="350"/>
    </row>
    <row r="203" spans="2:35">
      <c r="B203" s="831" t="s">
        <v>1206</v>
      </c>
      <c r="C203" s="289">
        <v>2004</v>
      </c>
      <c r="D203" s="289">
        <f t="shared" si="209"/>
        <v>104</v>
      </c>
      <c r="E203" s="289">
        <v>1</v>
      </c>
      <c r="F203" s="351">
        <v>0</v>
      </c>
      <c r="G203" s="344" t="s">
        <v>169</v>
      </c>
      <c r="H203" s="289">
        <v>7</v>
      </c>
      <c r="I203" s="289">
        <f t="shared" si="210"/>
        <v>111</v>
      </c>
      <c r="L203" s="833">
        <v>11900</v>
      </c>
      <c r="M203" s="350">
        <v>0</v>
      </c>
      <c r="N203" s="359">
        <f t="shared" si="226"/>
        <v>11900</v>
      </c>
      <c r="O203" s="359">
        <f t="shared" si="227"/>
        <v>141.66666666666666</v>
      </c>
      <c r="P203" s="359">
        <f t="shared" si="228"/>
        <v>0</v>
      </c>
      <c r="Q203" s="350">
        <f t="shared" si="229"/>
        <v>0</v>
      </c>
      <c r="R203" s="359">
        <f t="shared" si="230"/>
        <v>0</v>
      </c>
      <c r="S203" s="352">
        <f>+'WP-11 - Non-Regulated'!$K$40</f>
        <v>0.5539209822239638</v>
      </c>
      <c r="T203" s="350">
        <f t="shared" si="231"/>
        <v>0</v>
      </c>
      <c r="U203" s="359">
        <f t="shared" si="232"/>
        <v>11900</v>
      </c>
      <c r="V203" s="359">
        <f t="shared" si="233"/>
        <v>6591.659688465169</v>
      </c>
      <c r="W203" s="352">
        <v>1</v>
      </c>
      <c r="X203" s="359">
        <f t="shared" si="234"/>
        <v>6591.659688465169</v>
      </c>
      <c r="Y203" s="359">
        <f t="shared" si="235"/>
        <v>6591.659688465169</v>
      </c>
      <c r="Z203" s="350">
        <f t="shared" si="221"/>
        <v>0</v>
      </c>
      <c r="AA203" s="350">
        <f t="shared" si="236"/>
        <v>104</v>
      </c>
      <c r="AB203" s="350">
        <f t="shared" si="145"/>
        <v>124</v>
      </c>
      <c r="AC203" s="350">
        <f t="shared" si="237"/>
        <v>111</v>
      </c>
      <c r="AD203" s="350">
        <f t="shared" si="146"/>
        <v>123</v>
      </c>
      <c r="AE203" s="350">
        <f t="shared" si="238"/>
        <v>-8.3333333333333329E-2</v>
      </c>
      <c r="AF203" s="350">
        <f t="shared" si="239"/>
        <v>5308.340311534831</v>
      </c>
      <c r="AG203" s="350"/>
      <c r="AH203" s="350"/>
      <c r="AI203" s="350"/>
    </row>
    <row r="204" spans="2:35">
      <c r="B204" s="831" t="s">
        <v>1207</v>
      </c>
      <c r="C204" s="289">
        <v>2004</v>
      </c>
      <c r="D204" s="289">
        <f t="shared" si="209"/>
        <v>104</v>
      </c>
      <c r="E204" s="289">
        <v>1</v>
      </c>
      <c r="F204" s="351">
        <v>0</v>
      </c>
      <c r="G204" s="344" t="s">
        <v>169</v>
      </c>
      <c r="H204" s="289">
        <v>7</v>
      </c>
      <c r="I204" s="289">
        <f t="shared" si="210"/>
        <v>111</v>
      </c>
      <c r="L204" s="833">
        <v>4104</v>
      </c>
      <c r="M204" s="350">
        <v>0</v>
      </c>
      <c r="N204" s="359">
        <f t="shared" si="226"/>
        <v>4104</v>
      </c>
      <c r="O204" s="359">
        <f t="shared" si="227"/>
        <v>48.857142857142861</v>
      </c>
      <c r="P204" s="359">
        <f t="shared" si="228"/>
        <v>0</v>
      </c>
      <c r="Q204" s="350">
        <f t="shared" si="229"/>
        <v>0</v>
      </c>
      <c r="R204" s="359">
        <f t="shared" si="230"/>
        <v>0</v>
      </c>
      <c r="S204" s="352">
        <f>+'WP-11 - Non-Regulated'!$K$40</f>
        <v>0.5539209822239638</v>
      </c>
      <c r="T204" s="350">
        <f t="shared" si="231"/>
        <v>0</v>
      </c>
      <c r="U204" s="359">
        <f t="shared" si="232"/>
        <v>4104</v>
      </c>
      <c r="V204" s="359">
        <f t="shared" si="233"/>
        <v>2273.2917110471476</v>
      </c>
      <c r="W204" s="352">
        <v>1</v>
      </c>
      <c r="X204" s="359">
        <f t="shared" si="234"/>
        <v>2273.2917110471476</v>
      </c>
      <c r="Y204" s="359">
        <f t="shared" si="235"/>
        <v>2273.2917110471476</v>
      </c>
      <c r="Z204" s="350">
        <f t="shared" si="221"/>
        <v>0</v>
      </c>
      <c r="AA204" s="350">
        <f t="shared" si="236"/>
        <v>104</v>
      </c>
      <c r="AB204" s="350">
        <f t="shared" si="145"/>
        <v>124</v>
      </c>
      <c r="AC204" s="350">
        <f t="shared" si="237"/>
        <v>111</v>
      </c>
      <c r="AD204" s="350">
        <f t="shared" si="146"/>
        <v>123</v>
      </c>
      <c r="AE204" s="350">
        <f t="shared" si="238"/>
        <v>-8.3333333333333329E-2</v>
      </c>
      <c r="AF204" s="350">
        <f t="shared" si="239"/>
        <v>1830.7082889528524</v>
      </c>
      <c r="AG204" s="350"/>
      <c r="AH204" s="350"/>
      <c r="AI204" s="350"/>
    </row>
    <row r="205" spans="2:35">
      <c r="B205" s="831" t="s">
        <v>1208</v>
      </c>
      <c r="C205" s="289">
        <v>2004</v>
      </c>
      <c r="D205" s="289">
        <f t="shared" si="209"/>
        <v>104</v>
      </c>
      <c r="E205" s="289">
        <v>1</v>
      </c>
      <c r="F205" s="351">
        <v>0</v>
      </c>
      <c r="G205" s="344" t="s">
        <v>169</v>
      </c>
      <c r="H205" s="289">
        <v>7</v>
      </c>
      <c r="I205" s="289">
        <f t="shared" si="210"/>
        <v>111</v>
      </c>
      <c r="L205" s="833">
        <v>136696</v>
      </c>
      <c r="M205" s="350">
        <v>0</v>
      </c>
      <c r="N205" s="359">
        <f t="shared" si="226"/>
        <v>136696</v>
      </c>
      <c r="O205" s="359">
        <f t="shared" si="227"/>
        <v>1627.3333333333333</v>
      </c>
      <c r="P205" s="359">
        <f t="shared" si="228"/>
        <v>0</v>
      </c>
      <c r="Q205" s="350">
        <f t="shared" si="229"/>
        <v>0</v>
      </c>
      <c r="R205" s="359">
        <f t="shared" si="230"/>
        <v>0</v>
      </c>
      <c r="S205" s="352">
        <f>+'WP-11 - Non-Regulated'!$K$40</f>
        <v>0.5539209822239638</v>
      </c>
      <c r="T205" s="350">
        <f t="shared" si="231"/>
        <v>0</v>
      </c>
      <c r="U205" s="359">
        <f t="shared" si="232"/>
        <v>136696</v>
      </c>
      <c r="V205" s="359">
        <f t="shared" si="233"/>
        <v>75718.782586086949</v>
      </c>
      <c r="W205" s="352">
        <v>1</v>
      </c>
      <c r="X205" s="359">
        <f t="shared" si="234"/>
        <v>75718.782586086949</v>
      </c>
      <c r="Y205" s="359">
        <f t="shared" si="235"/>
        <v>75718.782586086949</v>
      </c>
      <c r="Z205" s="350">
        <f t="shared" si="221"/>
        <v>0</v>
      </c>
      <c r="AA205" s="350">
        <f t="shared" si="236"/>
        <v>104</v>
      </c>
      <c r="AB205" s="350">
        <f t="shared" si="145"/>
        <v>124</v>
      </c>
      <c r="AC205" s="350">
        <f t="shared" si="237"/>
        <v>111</v>
      </c>
      <c r="AD205" s="350">
        <f t="shared" si="146"/>
        <v>123</v>
      </c>
      <c r="AE205" s="350">
        <f t="shared" si="238"/>
        <v>-8.3333333333333329E-2</v>
      </c>
      <c r="AF205" s="350">
        <f t="shared" si="239"/>
        <v>60977.217413913051</v>
      </c>
      <c r="AG205" s="350"/>
      <c r="AH205" s="350"/>
      <c r="AI205" s="350"/>
    </row>
    <row r="206" spans="2:35">
      <c r="B206" s="831" t="s">
        <v>1209</v>
      </c>
      <c r="C206" s="289">
        <v>2005</v>
      </c>
      <c r="D206" s="289">
        <f t="shared" si="209"/>
        <v>105</v>
      </c>
      <c r="E206" s="289">
        <v>1</v>
      </c>
      <c r="F206" s="351">
        <v>0</v>
      </c>
      <c r="G206" s="344" t="s">
        <v>169</v>
      </c>
      <c r="H206" s="289">
        <v>7</v>
      </c>
      <c r="I206" s="289">
        <f t="shared" si="210"/>
        <v>112</v>
      </c>
      <c r="L206" s="833">
        <v>2930</v>
      </c>
      <c r="M206" s="350">
        <v>0</v>
      </c>
      <c r="N206" s="359">
        <f t="shared" si="226"/>
        <v>2930</v>
      </c>
      <c r="O206" s="359">
        <f t="shared" si="227"/>
        <v>34.88095238095238</v>
      </c>
      <c r="P206" s="359">
        <f t="shared" si="228"/>
        <v>0</v>
      </c>
      <c r="Q206" s="350">
        <f t="shared" si="229"/>
        <v>0</v>
      </c>
      <c r="R206" s="359">
        <f t="shared" si="230"/>
        <v>0</v>
      </c>
      <c r="S206" s="352">
        <f>+'WP-11 - Non-Regulated'!$K$40</f>
        <v>0.5539209822239638</v>
      </c>
      <c r="T206" s="350">
        <f t="shared" si="231"/>
        <v>0</v>
      </c>
      <c r="U206" s="359">
        <f t="shared" si="232"/>
        <v>2930</v>
      </c>
      <c r="V206" s="359">
        <f t="shared" si="233"/>
        <v>1622.9884779162139</v>
      </c>
      <c r="W206" s="352">
        <v>1</v>
      </c>
      <c r="X206" s="359">
        <f t="shared" si="234"/>
        <v>1622.9884779162139</v>
      </c>
      <c r="Y206" s="359">
        <f t="shared" si="235"/>
        <v>1622.9884779162139</v>
      </c>
      <c r="Z206" s="350">
        <f t="shared" si="221"/>
        <v>0</v>
      </c>
      <c r="AA206" s="350">
        <f t="shared" si="236"/>
        <v>105</v>
      </c>
      <c r="AB206" s="350">
        <f t="shared" si="145"/>
        <v>124</v>
      </c>
      <c r="AC206" s="350">
        <f t="shared" si="237"/>
        <v>112</v>
      </c>
      <c r="AD206" s="350">
        <f t="shared" si="146"/>
        <v>123</v>
      </c>
      <c r="AE206" s="350">
        <f t="shared" si="238"/>
        <v>-8.3333333333333329E-2</v>
      </c>
      <c r="AF206" s="350">
        <f t="shared" si="239"/>
        <v>1307.0115220837861</v>
      </c>
      <c r="AG206" s="350"/>
      <c r="AH206" s="350"/>
      <c r="AI206" s="350"/>
    </row>
    <row r="207" spans="2:35">
      <c r="B207" s="831" t="s">
        <v>1210</v>
      </c>
      <c r="C207" s="289">
        <v>2004</v>
      </c>
      <c r="D207" s="289">
        <f t="shared" si="209"/>
        <v>104</v>
      </c>
      <c r="E207" s="289">
        <v>1</v>
      </c>
      <c r="F207" s="351">
        <v>0</v>
      </c>
      <c r="G207" s="344" t="s">
        <v>169</v>
      </c>
      <c r="H207" s="289">
        <v>7</v>
      </c>
      <c r="I207" s="289">
        <f t="shared" si="210"/>
        <v>111</v>
      </c>
      <c r="L207" s="833">
        <v>15380</v>
      </c>
      <c r="M207" s="350">
        <v>0</v>
      </c>
      <c r="N207" s="359">
        <f t="shared" si="226"/>
        <v>15380</v>
      </c>
      <c r="O207" s="359">
        <f t="shared" si="227"/>
        <v>183.0952380952381</v>
      </c>
      <c r="P207" s="359">
        <f t="shared" si="228"/>
        <v>0</v>
      </c>
      <c r="Q207" s="350">
        <f t="shared" si="229"/>
        <v>0</v>
      </c>
      <c r="R207" s="359">
        <f t="shared" si="230"/>
        <v>0</v>
      </c>
      <c r="S207" s="352">
        <f>+'WP-11 - Non-Regulated'!$K$40</f>
        <v>0.5539209822239638</v>
      </c>
      <c r="T207" s="350">
        <f t="shared" si="231"/>
        <v>0</v>
      </c>
      <c r="U207" s="359">
        <f t="shared" si="232"/>
        <v>15380</v>
      </c>
      <c r="V207" s="359">
        <f t="shared" si="233"/>
        <v>8519.3047066045638</v>
      </c>
      <c r="W207" s="352">
        <v>1</v>
      </c>
      <c r="X207" s="359">
        <f t="shared" si="234"/>
        <v>8519.3047066045638</v>
      </c>
      <c r="Y207" s="359">
        <f t="shared" si="235"/>
        <v>8519.3047066045638</v>
      </c>
      <c r="Z207" s="350">
        <f t="shared" si="221"/>
        <v>0</v>
      </c>
      <c r="AA207" s="350">
        <f t="shared" si="236"/>
        <v>104</v>
      </c>
      <c r="AB207" s="350">
        <f t="shared" si="145"/>
        <v>124</v>
      </c>
      <c r="AC207" s="350">
        <f t="shared" si="237"/>
        <v>111</v>
      </c>
      <c r="AD207" s="350">
        <f t="shared" si="146"/>
        <v>123</v>
      </c>
      <c r="AE207" s="350">
        <f t="shared" si="238"/>
        <v>-8.3333333333333329E-2</v>
      </c>
      <c r="AF207" s="350">
        <f t="shared" si="239"/>
        <v>6860.6952933954362</v>
      </c>
      <c r="AG207" s="350"/>
      <c r="AH207" s="350"/>
      <c r="AI207" s="350"/>
    </row>
    <row r="208" spans="2:35">
      <c r="B208" s="831" t="s">
        <v>1211</v>
      </c>
      <c r="C208" s="289">
        <v>2004</v>
      </c>
      <c r="D208" s="289">
        <f t="shared" si="209"/>
        <v>104</v>
      </c>
      <c r="E208" s="289">
        <v>1</v>
      </c>
      <c r="F208" s="351">
        <v>0</v>
      </c>
      <c r="G208" s="344" t="s">
        <v>169</v>
      </c>
      <c r="H208" s="289">
        <v>7</v>
      </c>
      <c r="I208" s="289">
        <f t="shared" si="210"/>
        <v>111</v>
      </c>
      <c r="L208" s="833">
        <v>52661</v>
      </c>
      <c r="M208" s="350">
        <v>0</v>
      </c>
      <c r="N208" s="359">
        <f t="shared" si="226"/>
        <v>52661</v>
      </c>
      <c r="O208" s="359">
        <f t="shared" si="227"/>
        <v>626.91666666666663</v>
      </c>
      <c r="P208" s="359">
        <f t="shared" si="228"/>
        <v>0</v>
      </c>
      <c r="Q208" s="350">
        <f t="shared" si="229"/>
        <v>0</v>
      </c>
      <c r="R208" s="359">
        <f t="shared" si="230"/>
        <v>0</v>
      </c>
      <c r="S208" s="352">
        <f>+'WP-11 - Non-Regulated'!$K$40</f>
        <v>0.5539209822239638</v>
      </c>
      <c r="T208" s="350">
        <f t="shared" si="231"/>
        <v>0</v>
      </c>
      <c r="U208" s="359">
        <f t="shared" si="232"/>
        <v>52661</v>
      </c>
      <c r="V208" s="359">
        <f t="shared" si="233"/>
        <v>29170.032844896159</v>
      </c>
      <c r="W208" s="352">
        <v>1</v>
      </c>
      <c r="X208" s="359">
        <f t="shared" si="234"/>
        <v>29170.032844896159</v>
      </c>
      <c r="Y208" s="359">
        <f t="shared" si="235"/>
        <v>29170.032844896159</v>
      </c>
      <c r="Z208" s="350">
        <f t="shared" si="221"/>
        <v>0</v>
      </c>
      <c r="AA208" s="350">
        <f t="shared" si="236"/>
        <v>104</v>
      </c>
      <c r="AB208" s="350">
        <f t="shared" si="145"/>
        <v>124</v>
      </c>
      <c r="AC208" s="350">
        <f t="shared" si="237"/>
        <v>111</v>
      </c>
      <c r="AD208" s="350">
        <f t="shared" si="146"/>
        <v>123</v>
      </c>
      <c r="AE208" s="350">
        <f t="shared" si="238"/>
        <v>-8.3333333333333329E-2</v>
      </c>
      <c r="AF208" s="350">
        <f t="shared" si="239"/>
        <v>23490.967155103841</v>
      </c>
      <c r="AG208" s="350"/>
      <c r="AH208" s="350"/>
      <c r="AI208" s="350"/>
    </row>
    <row r="209" spans="2:37">
      <c r="B209" s="835" t="s">
        <v>1212</v>
      </c>
      <c r="C209" s="289">
        <v>2023</v>
      </c>
      <c r="D209" s="289">
        <f t="shared" si="209"/>
        <v>123</v>
      </c>
      <c r="E209" s="289">
        <v>10</v>
      </c>
      <c r="F209" s="351">
        <v>0</v>
      </c>
      <c r="G209" s="344" t="s">
        <v>169</v>
      </c>
      <c r="H209" s="289">
        <v>5</v>
      </c>
      <c r="I209" s="289">
        <f t="shared" si="210"/>
        <v>128</v>
      </c>
      <c r="L209" s="836">
        <v>6071.92</v>
      </c>
      <c r="M209" s="350">
        <v>0</v>
      </c>
      <c r="N209" s="359">
        <f t="shared" ref="N209:N211" si="240">L209-(+L209*F209)</f>
        <v>6071.92</v>
      </c>
      <c r="O209" s="359">
        <f t="shared" ref="O209:O211" si="241">N209/H209/12</f>
        <v>101.19866666666667</v>
      </c>
      <c r="P209" s="359">
        <f t="shared" ref="P209:P211" si="242">IF(Q209&gt;0,0,IF(OR(AA209&gt;AB209,AC209&lt;AD209),0,IF(AND(AC209&gt;=AD209,AC209&lt;=AB209),O209*((AC209-AD209)*12),IF(AND(AD209&lt;=AA209,AB209&gt;=AA209),((AB209-AA209)*12)*O209,IF(AC209&gt;AB209,12*O209,0)))))</f>
        <v>303.596</v>
      </c>
      <c r="Q209" s="350">
        <f t="shared" ref="Q209:Q211" si="243">IF(M209=0,0,IF(AND(AE209&gt;=AD209,AE209&lt;=AC209),((AE209-AD209)*12)*O209,0))</f>
        <v>0</v>
      </c>
      <c r="R209" s="359">
        <f t="shared" ref="R209:R211" si="244">IF(Q209&gt;0,Q209,P209)</f>
        <v>303.596</v>
      </c>
      <c r="S209" s="352">
        <f>+S134</f>
        <v>0.41544073666797288</v>
      </c>
      <c r="T209" s="350">
        <f t="shared" ref="T209:T211" si="245">S209*SUM(P209:Q209)</f>
        <v>126.1261458894499</v>
      </c>
      <c r="U209" s="359">
        <f t="shared" ref="U209:U211" si="246">IF(AA209&gt;AB209,0,IF(AC209&lt;AD209,N209,IF(AND(AC209&gt;=AD209,AC209&lt;=AB209),(N209-R209),IF(AND(AD209&lt;=AA209,AB209&gt;=AA209),0,IF(AC209&gt;AB209,((AD209-AA209)*12)*O209,0)))))</f>
        <v>0</v>
      </c>
      <c r="V209" s="359">
        <f t="shared" ref="V209:V211" si="247">U209*S209</f>
        <v>0</v>
      </c>
      <c r="W209" s="352">
        <v>1</v>
      </c>
      <c r="X209" s="359">
        <f t="shared" ref="X209:X211" si="248">V209*W209</f>
        <v>0</v>
      </c>
      <c r="Y209" s="359">
        <f t="shared" ref="Y209:Y211" si="249">IF(M209&gt;0,0,X209+T209*W209)*W209</f>
        <v>126.1261458894499</v>
      </c>
      <c r="Z209" s="350">
        <f t="shared" si="221"/>
        <v>2396.3967718995482</v>
      </c>
      <c r="AA209" s="350">
        <f t="shared" si="236"/>
        <v>123.75</v>
      </c>
      <c r="AB209" s="350">
        <f t="shared" si="145"/>
        <v>124</v>
      </c>
      <c r="AC209" s="350">
        <f t="shared" si="237"/>
        <v>128.75</v>
      </c>
      <c r="AD209" s="350">
        <f t="shared" si="146"/>
        <v>123</v>
      </c>
      <c r="AE209" s="350">
        <f t="shared" si="238"/>
        <v>-8.3333333333333329E-2</v>
      </c>
      <c r="AF209" s="350">
        <f t="shared" ref="AF209:AF211" si="250">L209-((X209+Y209)/2)-Z209</f>
        <v>3612.4601551557271</v>
      </c>
      <c r="AG209" s="350"/>
      <c r="AH209" s="350"/>
      <c r="AI209" s="350"/>
    </row>
    <row r="210" spans="2:37">
      <c r="B210" s="835" t="s">
        <v>1213</v>
      </c>
      <c r="C210" s="289">
        <v>2023</v>
      </c>
      <c r="D210" s="289">
        <f t="shared" si="209"/>
        <v>123</v>
      </c>
      <c r="E210" s="289">
        <v>7</v>
      </c>
      <c r="F210" s="351">
        <v>0</v>
      </c>
      <c r="G210" s="344" t="s">
        <v>169</v>
      </c>
      <c r="H210" s="289">
        <v>5</v>
      </c>
      <c r="I210" s="289">
        <f t="shared" si="210"/>
        <v>128</v>
      </c>
      <c r="L210" s="836">
        <v>27642</v>
      </c>
      <c r="M210" s="350">
        <v>0</v>
      </c>
      <c r="N210" s="359">
        <f t="shared" si="240"/>
        <v>27642</v>
      </c>
      <c r="O210" s="359">
        <f t="shared" si="241"/>
        <v>460.7</v>
      </c>
      <c r="P210" s="359">
        <f t="shared" si="242"/>
        <v>2764.2</v>
      </c>
      <c r="Q210" s="350">
        <f t="shared" si="243"/>
        <v>0</v>
      </c>
      <c r="R210" s="359">
        <f t="shared" si="244"/>
        <v>2764.2</v>
      </c>
      <c r="S210" s="352">
        <f>+'WP-11 - Non-Regulated'!$K$40</f>
        <v>0.5539209822239638</v>
      </c>
      <c r="T210" s="350">
        <f t="shared" si="245"/>
        <v>1531.1483790634807</v>
      </c>
      <c r="U210" s="359">
        <f t="shared" si="246"/>
        <v>0</v>
      </c>
      <c r="V210" s="359">
        <f t="shared" si="247"/>
        <v>0</v>
      </c>
      <c r="W210" s="352">
        <v>1</v>
      </c>
      <c r="X210" s="359">
        <f t="shared" si="248"/>
        <v>0</v>
      </c>
      <c r="Y210" s="359">
        <f t="shared" si="249"/>
        <v>1531.1483790634807</v>
      </c>
      <c r="Z210" s="350">
        <f t="shared" si="221"/>
        <v>13780.335411571326</v>
      </c>
      <c r="AA210" s="350">
        <f t="shared" si="236"/>
        <v>123.5</v>
      </c>
      <c r="AB210" s="350">
        <f t="shared" si="145"/>
        <v>124</v>
      </c>
      <c r="AC210" s="350">
        <f t="shared" si="237"/>
        <v>128.5</v>
      </c>
      <c r="AD210" s="350">
        <f t="shared" si="146"/>
        <v>123</v>
      </c>
      <c r="AE210" s="350">
        <f t="shared" si="238"/>
        <v>-8.3333333333333329E-2</v>
      </c>
      <c r="AF210" s="350">
        <f t="shared" si="250"/>
        <v>13096.090398896933</v>
      </c>
      <c r="AG210" s="350"/>
      <c r="AH210" s="350"/>
      <c r="AI210" s="350"/>
    </row>
    <row r="211" spans="2:37">
      <c r="B211" s="835" t="s">
        <v>1214</v>
      </c>
      <c r="C211" s="289">
        <v>2023</v>
      </c>
      <c r="D211" s="289">
        <f t="shared" si="209"/>
        <v>123</v>
      </c>
      <c r="E211" s="289">
        <v>9</v>
      </c>
      <c r="F211" s="351">
        <v>0</v>
      </c>
      <c r="G211" s="344" t="s">
        <v>169</v>
      </c>
      <c r="H211" s="289">
        <v>5</v>
      </c>
      <c r="I211" s="289">
        <f t="shared" si="210"/>
        <v>128</v>
      </c>
      <c r="L211" s="866">
        <v>5374.49</v>
      </c>
      <c r="M211" s="350">
        <v>0</v>
      </c>
      <c r="N211" s="359">
        <f t="shared" si="240"/>
        <v>5374.49</v>
      </c>
      <c r="O211" s="359">
        <f t="shared" si="241"/>
        <v>89.574833333333331</v>
      </c>
      <c r="P211" s="359">
        <f t="shared" si="242"/>
        <v>358.29933333332821</v>
      </c>
      <c r="Q211" s="350">
        <f t="shared" si="243"/>
        <v>0</v>
      </c>
      <c r="R211" s="359">
        <f t="shared" si="244"/>
        <v>358.29933333332821</v>
      </c>
      <c r="S211" s="352">
        <f>+'WP-11 - Non-Regulated'!$K$40</f>
        <v>0.5539209822239638</v>
      </c>
      <c r="T211" s="350">
        <f t="shared" si="245"/>
        <v>198.46951865018858</v>
      </c>
      <c r="U211" s="359">
        <f t="shared" si="246"/>
        <v>0</v>
      </c>
      <c r="V211" s="359">
        <f t="shared" si="247"/>
        <v>0</v>
      </c>
      <c r="W211" s="352">
        <v>1</v>
      </c>
      <c r="X211" s="359">
        <f t="shared" si="248"/>
        <v>0</v>
      </c>
      <c r="Y211" s="359">
        <f t="shared" si="249"/>
        <v>198.46951865018858</v>
      </c>
      <c r="Z211" s="350">
        <f t="shared" si="221"/>
        <v>2778.5732611026829</v>
      </c>
      <c r="AA211" s="350">
        <f t="shared" si="236"/>
        <v>123.66666666666667</v>
      </c>
      <c r="AB211" s="350">
        <f t="shared" si="145"/>
        <v>124</v>
      </c>
      <c r="AC211" s="350">
        <f t="shared" si="237"/>
        <v>128.66666666666666</v>
      </c>
      <c r="AD211" s="350">
        <f t="shared" si="146"/>
        <v>123</v>
      </c>
      <c r="AE211" s="350">
        <f t="shared" si="238"/>
        <v>-8.3333333333333329E-2</v>
      </c>
      <c r="AF211" s="350">
        <f t="shared" si="250"/>
        <v>2496.6819795722226</v>
      </c>
      <c r="AG211" s="350"/>
      <c r="AH211" s="350"/>
      <c r="AI211" s="350"/>
    </row>
    <row r="212" spans="2:37">
      <c r="B212" s="868" t="s">
        <v>1280</v>
      </c>
      <c r="C212" s="289">
        <v>2024</v>
      </c>
      <c r="D212" s="289">
        <f t="shared" si="209"/>
        <v>124</v>
      </c>
      <c r="E212" s="289">
        <v>6</v>
      </c>
      <c r="F212" s="351">
        <v>0</v>
      </c>
      <c r="G212" s="344" t="s">
        <v>169</v>
      </c>
      <c r="H212" s="289">
        <v>5</v>
      </c>
      <c r="I212" s="289">
        <f t="shared" si="210"/>
        <v>129</v>
      </c>
      <c r="L212" s="869">
        <v>54925.2</v>
      </c>
      <c r="M212" s="350"/>
      <c r="N212" s="359">
        <f t="shared" ref="N212:N213" si="251">L212-(+L212*F212)</f>
        <v>54925.2</v>
      </c>
      <c r="O212" s="359">
        <f t="shared" ref="O212:O213" si="252">N212/H212/12</f>
        <v>915.42</v>
      </c>
      <c r="P212" s="359">
        <f t="shared" ref="P212:P213" si="253">IF(Q212&gt;0,0,IF(OR(AA212&gt;AB212,AC212&lt;AD212),0,IF(AND(AC212&gt;=AD212,AC212&lt;=AB212),O212*((AC212-AD212)*12),IF(AND(AD212&lt;=AA212,AB212&gt;=AA212),((AB212-AA212)*12)*O212,IF(AC212&gt;AB212,12*O212,0)))))</f>
        <v>0</v>
      </c>
      <c r="Q212" s="350">
        <f t="shared" ref="Q212:Q213" si="254">IF(M212=0,0,IF(AND(AE212&gt;=AD212,AE212&lt;=AC212),((AE212-AD212)*12)*O212,0))</f>
        <v>0</v>
      </c>
      <c r="R212" s="359">
        <f t="shared" ref="R212:R213" si="255">IF(Q212&gt;0,Q212,P212)</f>
        <v>0</v>
      </c>
      <c r="S212" s="352">
        <f>+S130</f>
        <v>0.45392098222396382</v>
      </c>
      <c r="T212" s="350">
        <f t="shared" ref="T212:T213" si="256">S212*SUM(P212:Q212)</f>
        <v>0</v>
      </c>
      <c r="U212" s="359">
        <f t="shared" ref="U212:U213" si="257">IF(AA212&gt;AB212,0,IF(AC212&lt;AD212,N212,IF(AND(AC212&gt;=AD212,AC212&lt;=AB212),(N212-R212),IF(AND(AD212&lt;=AA212,AB212&gt;=AA212),0,IF(AC212&gt;AB212,((AD212-AA212)*12)*O212,0)))))</f>
        <v>0</v>
      </c>
      <c r="V212" s="359">
        <f t="shared" ref="V212:V213" si="258">U212*S212</f>
        <v>0</v>
      </c>
      <c r="W212" s="352">
        <v>1</v>
      </c>
      <c r="X212" s="359">
        <f t="shared" ref="X212:X213" si="259">V212*W212</f>
        <v>0</v>
      </c>
      <c r="Y212" s="359">
        <f t="shared" ref="Y212:Y213" si="260">IF(M212&gt;0,0,X212+T212*W212)*W212</f>
        <v>0</v>
      </c>
      <c r="Z212" s="350">
        <f t="shared" ref="Z212:Z213" si="261">IF((N212-((AB212-AA212)*12*O212))&lt;0,0,(N212-((AB212-AA212)*12*(O212)))*S212)</f>
        <v>27009.342460584983</v>
      </c>
      <c r="AA212" s="350">
        <f t="shared" si="236"/>
        <v>124.41666666666667</v>
      </c>
      <c r="AB212" s="350">
        <f t="shared" si="145"/>
        <v>124</v>
      </c>
      <c r="AC212" s="350">
        <f t="shared" si="237"/>
        <v>129.41666666666666</v>
      </c>
      <c r="AD212" s="350">
        <f t="shared" si="146"/>
        <v>123</v>
      </c>
      <c r="AE212" s="350">
        <f t="shared" si="238"/>
        <v>-8.3333333333333329E-2</v>
      </c>
      <c r="AF212" s="350">
        <f t="shared" ref="AF212:AF213" si="262">L212-((X212+Y212)/2)-Z212</f>
        <v>27915.857539415014</v>
      </c>
      <c r="AG212" s="350"/>
      <c r="AH212" s="350"/>
      <c r="AI212" s="350"/>
    </row>
    <row r="213" spans="2:37">
      <c r="B213" s="868" t="s">
        <v>663</v>
      </c>
      <c r="C213" s="289">
        <v>2024</v>
      </c>
      <c r="D213" s="289">
        <f t="shared" si="209"/>
        <v>124</v>
      </c>
      <c r="E213" s="289">
        <v>2</v>
      </c>
      <c r="F213" s="351">
        <v>0</v>
      </c>
      <c r="G213" s="344" t="s">
        <v>169</v>
      </c>
      <c r="H213" s="289">
        <v>5</v>
      </c>
      <c r="I213" s="289">
        <f t="shared" si="210"/>
        <v>129</v>
      </c>
      <c r="L213" s="869">
        <v>23848</v>
      </c>
      <c r="M213" s="350"/>
      <c r="N213" s="359">
        <f t="shared" si="251"/>
        <v>23848</v>
      </c>
      <c r="O213" s="359">
        <f t="shared" si="252"/>
        <v>397.4666666666667</v>
      </c>
      <c r="P213" s="359">
        <f t="shared" si="253"/>
        <v>0</v>
      </c>
      <c r="Q213" s="350">
        <f t="shared" si="254"/>
        <v>0</v>
      </c>
      <c r="R213" s="359">
        <f t="shared" si="255"/>
        <v>0</v>
      </c>
      <c r="S213" s="352">
        <f>+S212</f>
        <v>0.45392098222396382</v>
      </c>
      <c r="T213" s="350">
        <f t="shared" si="256"/>
        <v>0</v>
      </c>
      <c r="U213" s="359">
        <f t="shared" si="257"/>
        <v>0</v>
      </c>
      <c r="V213" s="359">
        <f t="shared" si="258"/>
        <v>0</v>
      </c>
      <c r="W213" s="352">
        <v>1</v>
      </c>
      <c r="X213" s="359">
        <f t="shared" si="259"/>
        <v>0</v>
      </c>
      <c r="Y213" s="359">
        <f t="shared" si="260"/>
        <v>0</v>
      </c>
      <c r="Z213" s="350">
        <f t="shared" si="261"/>
        <v>11005.526043811698</v>
      </c>
      <c r="AA213" s="350">
        <f t="shared" si="236"/>
        <v>124.08333333333333</v>
      </c>
      <c r="AB213" s="350">
        <f t="shared" si="145"/>
        <v>124</v>
      </c>
      <c r="AC213" s="350">
        <f t="shared" si="237"/>
        <v>129.08333333333334</v>
      </c>
      <c r="AD213" s="350">
        <f t="shared" si="146"/>
        <v>123</v>
      </c>
      <c r="AE213" s="350">
        <f t="shared" si="238"/>
        <v>-8.3333333333333329E-2</v>
      </c>
      <c r="AF213" s="350">
        <f t="shared" si="262"/>
        <v>12842.473956188302</v>
      </c>
      <c r="AG213" s="350"/>
      <c r="AH213" s="350"/>
      <c r="AI213" s="350"/>
    </row>
    <row r="214" spans="2:37">
      <c r="B214" s="817"/>
      <c r="F214" s="351"/>
      <c r="G214" s="344"/>
      <c r="L214" s="820"/>
      <c r="M214" s="350"/>
      <c r="N214" s="354"/>
      <c r="O214" s="354"/>
      <c r="P214" s="354"/>
      <c r="Q214" s="354"/>
      <c r="R214" s="354"/>
      <c r="S214" s="352"/>
      <c r="T214" s="354"/>
      <c r="U214" s="354"/>
      <c r="V214" s="354"/>
      <c r="W214" s="352"/>
      <c r="X214" s="354"/>
      <c r="Y214" s="354"/>
      <c r="Z214" s="354"/>
      <c r="AA214" s="350"/>
      <c r="AB214" s="350"/>
      <c r="AC214" s="350"/>
      <c r="AD214" s="350"/>
      <c r="AE214" s="350"/>
      <c r="AF214" s="354"/>
      <c r="AG214" s="350"/>
      <c r="AH214" s="350"/>
      <c r="AI214" s="350"/>
    </row>
    <row r="215" spans="2:37">
      <c r="B215" s="355" t="s">
        <v>170</v>
      </c>
      <c r="F215" s="351"/>
      <c r="G215" s="344"/>
      <c r="L215" s="350">
        <f>SUM(L186:L213)</f>
        <v>903063.27999999991</v>
      </c>
      <c r="M215" s="350"/>
      <c r="N215" s="350">
        <f t="shared" ref="N215:R215" si="263">SUM(N186:N213)</f>
        <v>903063.27999999991</v>
      </c>
      <c r="O215" s="350">
        <f t="shared" si="263"/>
        <v>11365.034476190478</v>
      </c>
      <c r="P215" s="350">
        <f t="shared" si="263"/>
        <v>66231.187047619052</v>
      </c>
      <c r="Q215" s="350">
        <f t="shared" si="263"/>
        <v>0</v>
      </c>
      <c r="R215" s="350">
        <f t="shared" si="263"/>
        <v>66231.187047619052</v>
      </c>
      <c r="S215" s="350"/>
      <c r="T215" s="350">
        <f>SUM(T186:T213)</f>
        <v>33163.734150380064</v>
      </c>
      <c r="U215" s="350">
        <f t="shared" ref="U215:V215" si="264">SUM(U186:U213)</f>
        <v>574884.75483333343</v>
      </c>
      <c r="V215" s="350">
        <f t="shared" si="264"/>
        <v>308231.19702165149</v>
      </c>
      <c r="W215" s="350"/>
      <c r="X215" s="350">
        <f t="shared" ref="X215:Z215" si="265">SUM(X186:X213)</f>
        <v>308231.19702165149</v>
      </c>
      <c r="Y215" s="350">
        <f t="shared" si="265"/>
        <v>341394.93117203156</v>
      </c>
      <c r="Z215" s="350">
        <f t="shared" si="265"/>
        <v>128620.11683747919</v>
      </c>
      <c r="AA215" s="350"/>
      <c r="AB215" s="350"/>
      <c r="AC215" s="350"/>
      <c r="AD215" s="350"/>
      <c r="AE215" s="350"/>
      <c r="AF215" s="350">
        <f>SUM(AF186:AF213)</f>
        <v>449630.0990656793</v>
      </c>
    </row>
    <row r="216" spans="2:37">
      <c r="F216" s="351"/>
      <c r="G216" s="344"/>
      <c r="L216" s="350"/>
      <c r="M216" s="350"/>
      <c r="N216" s="350"/>
      <c r="O216" s="350"/>
      <c r="P216" s="350"/>
      <c r="Q216" s="350"/>
      <c r="R216" s="350"/>
      <c r="S216" s="352"/>
      <c r="T216" s="350"/>
      <c r="U216" s="350"/>
      <c r="V216" s="350"/>
      <c r="W216" s="352"/>
      <c r="X216" s="350"/>
      <c r="Y216" s="350"/>
      <c r="Z216" s="350"/>
      <c r="AA216" s="350"/>
      <c r="AB216" s="350"/>
      <c r="AC216" s="350"/>
      <c r="AD216" s="350"/>
      <c r="AE216" s="350"/>
      <c r="AF216" s="350"/>
    </row>
    <row r="217" spans="2:37" ht="16.5" thickBot="1">
      <c r="B217" s="291" t="s">
        <v>1215</v>
      </c>
      <c r="K217" s="356" t="s">
        <v>204</v>
      </c>
      <c r="L217" s="357">
        <f>SUM(L215:L216)</f>
        <v>903063.27999999991</v>
      </c>
      <c r="M217" s="350"/>
      <c r="N217" s="357">
        <f>SUM(N215:N216)</f>
        <v>903063.27999999991</v>
      </c>
      <c r="O217" s="357">
        <f>SUM(O215:O216)</f>
        <v>11365.034476190478</v>
      </c>
      <c r="P217" s="357">
        <f>SUM(P215:P216)</f>
        <v>66231.187047619052</v>
      </c>
      <c r="Q217" s="357">
        <f>SUM(Q215:Q216)</f>
        <v>0</v>
      </c>
      <c r="R217" s="357">
        <f>SUM(R215:R216)</f>
        <v>66231.187047619052</v>
      </c>
      <c r="S217" s="358"/>
      <c r="T217" s="357">
        <f>SUM(T215:T216)</f>
        <v>33163.734150380064</v>
      </c>
      <c r="U217" s="357">
        <f>SUM(U215:U216)</f>
        <v>574884.75483333343</v>
      </c>
      <c r="V217" s="357">
        <f>SUM(V215:V216)</f>
        <v>308231.19702165149</v>
      </c>
      <c r="W217" s="358"/>
      <c r="X217" s="357">
        <f>SUM(X215:X216)</f>
        <v>308231.19702165149</v>
      </c>
      <c r="Y217" s="357">
        <f>SUM(Y215:Y216)</f>
        <v>341394.93117203156</v>
      </c>
      <c r="Z217" s="357">
        <f>SUM(Z215:Z216)</f>
        <v>128620.11683747919</v>
      </c>
      <c r="AA217" s="350"/>
      <c r="AB217" s="350"/>
      <c r="AC217" s="350"/>
      <c r="AD217" s="350"/>
      <c r="AE217" s="350"/>
      <c r="AF217" s="655">
        <f>SUM(AF215:AF216)</f>
        <v>449630.0990656793</v>
      </c>
      <c r="AG217" s="358"/>
      <c r="AH217" s="358"/>
      <c r="AI217" s="358"/>
      <c r="AJ217" s="358"/>
      <c r="AK217" s="358"/>
    </row>
    <row r="218" spans="2:37" ht="16.5" thickTop="1">
      <c r="B218" s="830"/>
      <c r="F218" s="351"/>
      <c r="G218" s="344"/>
      <c r="L218" s="832"/>
      <c r="M218" s="350"/>
      <c r="N218" s="359"/>
      <c r="O218" s="359"/>
      <c r="P218" s="359"/>
      <c r="Q218" s="350"/>
      <c r="R218" s="359"/>
      <c r="S218" s="352"/>
      <c r="T218" s="350"/>
      <c r="U218" s="359"/>
      <c r="V218" s="359"/>
      <c r="W218" s="352"/>
      <c r="X218" s="359"/>
      <c r="Y218" s="359"/>
      <c r="Z218" s="350"/>
      <c r="AA218" s="350"/>
      <c r="AB218" s="350"/>
      <c r="AC218" s="350"/>
      <c r="AD218" s="350"/>
      <c r="AE218" s="350"/>
      <c r="AF218" s="350"/>
      <c r="AG218" s="350"/>
      <c r="AH218" s="350"/>
      <c r="AI218" s="350"/>
    </row>
    <row r="219" spans="2:37">
      <c r="B219" s="291" t="s">
        <v>1216</v>
      </c>
      <c r="F219" s="351"/>
      <c r="G219" s="344"/>
      <c r="L219" s="832"/>
      <c r="M219" s="350"/>
      <c r="N219" s="359"/>
      <c r="O219" s="359"/>
      <c r="P219" s="359"/>
      <c r="Q219" s="350"/>
      <c r="R219" s="359"/>
      <c r="S219" s="352"/>
      <c r="T219" s="350"/>
      <c r="U219" s="359"/>
      <c r="V219" s="359"/>
      <c r="W219" s="352"/>
      <c r="X219" s="359"/>
      <c r="Y219" s="359"/>
      <c r="Z219" s="350"/>
      <c r="AA219" s="350"/>
      <c r="AB219" s="350"/>
      <c r="AC219" s="350"/>
      <c r="AD219" s="350"/>
      <c r="AE219" s="350"/>
      <c r="AF219" s="350"/>
      <c r="AG219" s="350"/>
      <c r="AH219" s="350"/>
      <c r="AI219" s="350"/>
    </row>
    <row r="220" spans="2:37">
      <c r="B220" s="353" t="s">
        <v>654</v>
      </c>
      <c r="C220" s="289">
        <v>2010</v>
      </c>
      <c r="D220" s="289">
        <f>+C220-1900</f>
        <v>110</v>
      </c>
      <c r="E220" s="289">
        <v>6</v>
      </c>
      <c r="F220" s="351">
        <v>0</v>
      </c>
      <c r="G220" s="344" t="s">
        <v>169</v>
      </c>
      <c r="H220" s="289">
        <v>20</v>
      </c>
      <c r="I220" s="289">
        <f>D220+H220</f>
        <v>130</v>
      </c>
      <c r="L220" s="350">
        <v>306632</v>
      </c>
      <c r="M220" s="350">
        <v>0</v>
      </c>
      <c r="N220" s="350">
        <f>L220-(+L220*F220)</f>
        <v>306632</v>
      </c>
      <c r="O220" s="350">
        <f>N220/H220/12</f>
        <v>1277.6333333333334</v>
      </c>
      <c r="P220" s="350">
        <f>IF(Q220&gt;0,0,IF(OR(AA220&gt;AB220,AC220&lt;AD220),0,IF(AND(AC220&gt;=AD220,AC220&lt;=AB220),O220*((AC220-AD220)*12),IF(AND(AD220&lt;=AA220,AB220&gt;=AA220),((AB220-AA220)*12)*O220,IF(AC220&gt;AB220,12*O220,0)))))</f>
        <v>15331.600000000002</v>
      </c>
      <c r="Q220" s="350">
        <f>IF(M220=0,0,IF(AND(AE220&gt;=AD220,AE220&lt;=AC220),((AE220-AD220)*12)*O220,0))</f>
        <v>0</v>
      </c>
      <c r="R220" s="350">
        <f>IF(Q220&gt;0,Q220,P220)</f>
        <v>15331.600000000002</v>
      </c>
      <c r="S220" s="352">
        <f>+'WP-11 - Non-Regulated'!$K$40</f>
        <v>0.5539209822239638</v>
      </c>
      <c r="T220" s="350">
        <f>S220*SUM(P220:Q220)</f>
        <v>8492.4949310649245</v>
      </c>
      <c r="U220" s="350">
        <f>IF(AA220&gt;AB220,0,IF(AC220&lt;AD220,N220,IF(AND(AC220&gt;=AD220,AC220&lt;=AB220),(N220-R220),IF(AND(AD220&lt;=AA220,AB220&gt;=AA220),0,IF(AC220&gt;AB220,((AD220-AA220)*12)*O220,0)))))</f>
        <v>192922.63333333327</v>
      </c>
      <c r="V220" s="350">
        <f>U220*S220</f>
        <v>106863.89454923359</v>
      </c>
      <c r="W220" s="352">
        <v>1</v>
      </c>
      <c r="X220" s="350">
        <f>V220*W220</f>
        <v>106863.89454923359</v>
      </c>
      <c r="Y220" s="350">
        <f>IF(M220&gt;0,0,X220+T220*W220)*W220</f>
        <v>115356.38948029852</v>
      </c>
      <c r="Z220" s="350">
        <f t="shared" ref="Z220:Z253" si="266">IF((N220-((AB220-AA220)*12*O220))&lt;0,0,IF(AE220&gt;0,0,(N220-((AB220-AA220)*12*(O220))))*S220)</f>
        <v>54493.509140999959</v>
      </c>
      <c r="AA220" s="350">
        <f t="shared" ref="AA220:AA246" si="267">$D220+(($E220-1)/12)</f>
        <v>110.41666666666667</v>
      </c>
      <c r="AB220" s="350">
        <f>($B$10+1)-($B$7/12)</f>
        <v>124</v>
      </c>
      <c r="AC220" s="350">
        <f t="shared" ref="AC220:AC246" si="268">$I220+(($E220-1)/12)</f>
        <v>130.41666666666666</v>
      </c>
      <c r="AD220" s="350">
        <f>$B$9+($B$8/12)</f>
        <v>123</v>
      </c>
      <c r="AE220" s="350">
        <f t="shared" ref="AE220:AE246" si="269">$J220+(($K220-1)/12)</f>
        <v>-8.3333333333333329E-2</v>
      </c>
      <c r="AF220" s="350">
        <f>L220-((X220+Y220)/2)-Z220</f>
        <v>141028.34884423399</v>
      </c>
      <c r="AG220" s="350"/>
      <c r="AH220" s="350"/>
      <c r="AI220" s="350"/>
    </row>
    <row r="221" spans="2:37">
      <c r="B221" s="353" t="s">
        <v>655</v>
      </c>
      <c r="C221" s="289">
        <v>2010</v>
      </c>
      <c r="D221" s="289">
        <f>+C221-1900</f>
        <v>110</v>
      </c>
      <c r="E221" s="289">
        <v>6</v>
      </c>
      <c r="F221" s="351">
        <v>0</v>
      </c>
      <c r="G221" s="344" t="s">
        <v>169</v>
      </c>
      <c r="H221" s="289">
        <v>20</v>
      </c>
      <c r="I221" s="289">
        <f>D221+H221</f>
        <v>130</v>
      </c>
      <c r="L221" s="350">
        <v>24008</v>
      </c>
      <c r="M221" s="350">
        <v>0</v>
      </c>
      <c r="N221" s="350">
        <f>L221-(+L221*F221)</f>
        <v>24008</v>
      </c>
      <c r="O221" s="350">
        <f>N221/H221/12</f>
        <v>100.03333333333335</v>
      </c>
      <c r="P221" s="350">
        <f>IF(Q221&gt;0,0,IF(OR(AA221&gt;AB221,AC221&lt;AD221),0,IF(AND(AC221&gt;=AD221,AC221&lt;=AB221),O221*((AC221-AD221)*12),IF(AND(AD221&lt;=AA221,AB221&gt;=AA221),((AB221-AA221)*12)*O221,IF(AC221&gt;AB221,12*O221,0)))))</f>
        <v>1200.4000000000001</v>
      </c>
      <c r="Q221" s="350">
        <f>IF(M221=0,0,IF(AND(AE221&gt;=AD221,AE221&lt;=AC221),((AE221-AD221)*12)*O221,0))</f>
        <v>0</v>
      </c>
      <c r="R221" s="350">
        <f>IF(Q221&gt;0,Q221,P221)</f>
        <v>1200.4000000000001</v>
      </c>
      <c r="S221" s="352">
        <f>+'WP-11 - Non-Regulated'!$K$40</f>
        <v>0.5539209822239638</v>
      </c>
      <c r="T221" s="350">
        <f>S221*SUM(P221:Q221)</f>
        <v>664.92674706164621</v>
      </c>
      <c r="U221" s="350">
        <f>IF(AA221&gt;AB221,0,IF(AC221&lt;AD221,N221,IF(AND(AC221&gt;=AD221,AC221&lt;=AB221),(N221-R221),IF(AND(AD221&lt;=AA221,AB221&gt;=AA221),0,IF(AC221&gt;AB221,((AD221-AA221)*12)*O221,0)))))</f>
        <v>15105.033333333329</v>
      </c>
      <c r="V221" s="350">
        <f>U221*S221</f>
        <v>8366.9949005257113</v>
      </c>
      <c r="W221" s="352">
        <v>1</v>
      </c>
      <c r="X221" s="350">
        <f>V221*W221</f>
        <v>8366.9949005257113</v>
      </c>
      <c r="Y221" s="350">
        <f>IF(M221&gt;0,0,X221+T221*W221)*W221</f>
        <v>9031.9216475873582</v>
      </c>
      <c r="Z221" s="350">
        <f t="shared" si="266"/>
        <v>4266.6132936455651</v>
      </c>
      <c r="AA221" s="350">
        <f t="shared" si="267"/>
        <v>110.41666666666667</v>
      </c>
      <c r="AB221" s="350">
        <f>($B$10+1)-($B$7/12)</f>
        <v>124</v>
      </c>
      <c r="AC221" s="350">
        <f t="shared" si="268"/>
        <v>130.41666666666666</v>
      </c>
      <c r="AD221" s="350">
        <f>$B$9+($B$8/12)</f>
        <v>123</v>
      </c>
      <c r="AE221" s="350">
        <f t="shared" si="269"/>
        <v>-8.3333333333333329E-2</v>
      </c>
      <c r="AF221" s="350">
        <f>L221-((X221+Y221)/2)-Z221</f>
        <v>11041.9284322979</v>
      </c>
      <c r="AG221" s="350"/>
      <c r="AH221" s="350"/>
      <c r="AI221" s="350"/>
    </row>
    <row r="222" spans="2:37">
      <c r="B222" s="353" t="s">
        <v>675</v>
      </c>
      <c r="C222" s="289">
        <v>2020</v>
      </c>
      <c r="D222" s="289">
        <f>+C222-1900</f>
        <v>120</v>
      </c>
      <c r="E222" s="289">
        <v>2</v>
      </c>
      <c r="F222" s="351">
        <v>0</v>
      </c>
      <c r="G222" s="344" t="s">
        <v>169</v>
      </c>
      <c r="H222" s="289">
        <v>7</v>
      </c>
      <c r="I222" s="289">
        <f>D222+H222</f>
        <v>127</v>
      </c>
      <c r="L222" s="576">
        <v>20856</v>
      </c>
      <c r="M222" s="350">
        <v>0</v>
      </c>
      <c r="N222" s="350">
        <f>L222-(+L222*F222)</f>
        <v>20856</v>
      </c>
      <c r="O222" s="350">
        <f>N222/H222/12</f>
        <v>248.28571428571431</v>
      </c>
      <c r="P222" s="350">
        <f>IF(Q222&gt;0,0,IF(OR(AA222&gt;AB222,AC222&lt;AD222),0,IF(AND(AC222&gt;=AD222,AC222&lt;=AB222),O222*((AC222-AD222)*12),IF(AND(AD222&lt;=AA222,AB222&gt;=AA222),((AB222-AA222)*12)*O222,IF(AC222&gt;AB222,12*O222,0)))))</f>
        <v>2979.4285714285716</v>
      </c>
      <c r="Q222" s="350">
        <f>IF(M222=0,0,IF(AND(AE222&gt;=AD222,AE222&lt;=AC222),((AE222-AD222)*12)*O222,0))</f>
        <v>0</v>
      </c>
      <c r="R222" s="350">
        <f>IF(Q222&gt;0,Q222,P222)</f>
        <v>2979.4285714285716</v>
      </c>
      <c r="S222" s="352">
        <f>+'WP-11 - Non-Regulated'!$K$40</f>
        <v>0.5539209822239638</v>
      </c>
      <c r="T222" s="350">
        <f>S222*SUM(P222:Q222)</f>
        <v>1650.3680007518556</v>
      </c>
      <c r="U222" s="350">
        <f>IF(AA222&gt;AB222,0,IF(AC222&lt;AD222,N222,IF(AND(AC222&gt;=AD222,AC222&lt;=AB222),(N222-R222),IF(AND(AD222&lt;=AA222,AB222&gt;=AA222),0,IF(AC222&gt;AB222,((AD222-AA222)*12)*O222,0)))))</f>
        <v>8690.0000000000146</v>
      </c>
      <c r="V222" s="350">
        <f>U222*S222</f>
        <v>4813.5733355262537</v>
      </c>
      <c r="W222" s="352">
        <v>1</v>
      </c>
      <c r="X222" s="350">
        <f>V222*W222</f>
        <v>4813.5733355262537</v>
      </c>
      <c r="Y222" s="350">
        <f>IF(M222&gt;0,0,X222+T222*W222)*W222</f>
        <v>6463.9413362781088</v>
      </c>
      <c r="Z222" s="350">
        <f t="shared" si="266"/>
        <v>5088.6346689848797</v>
      </c>
      <c r="AA222" s="350">
        <f t="shared" si="267"/>
        <v>120.08333333333333</v>
      </c>
      <c r="AB222" s="350">
        <f t="shared" si="115"/>
        <v>124</v>
      </c>
      <c r="AC222" s="350">
        <f t="shared" si="268"/>
        <v>127.08333333333333</v>
      </c>
      <c r="AD222" s="350">
        <f t="shared" si="116"/>
        <v>123</v>
      </c>
      <c r="AE222" s="350">
        <f t="shared" si="269"/>
        <v>-8.3333333333333329E-2</v>
      </c>
      <c r="AF222" s="350">
        <f>L222-((X222+Y222)/2)-Z222</f>
        <v>10128.60799511294</v>
      </c>
      <c r="AG222" s="350"/>
      <c r="AH222" s="350"/>
      <c r="AI222" s="350"/>
    </row>
    <row r="223" spans="2:37">
      <c r="B223" s="353" t="s">
        <v>676</v>
      </c>
      <c r="C223" s="289">
        <v>2020</v>
      </c>
      <c r="D223" s="289">
        <f>+C223-1900</f>
        <v>120</v>
      </c>
      <c r="E223" s="289">
        <v>4</v>
      </c>
      <c r="F223" s="351">
        <v>0</v>
      </c>
      <c r="G223" s="344" t="s">
        <v>169</v>
      </c>
      <c r="H223" s="289">
        <v>7</v>
      </c>
      <c r="I223" s="289">
        <f>D223+H223</f>
        <v>127</v>
      </c>
      <c r="L223" s="576">
        <v>38957.4</v>
      </c>
      <c r="M223" s="350">
        <v>0</v>
      </c>
      <c r="N223" s="350">
        <f>L223-(+L223*F223)</f>
        <v>38957.4</v>
      </c>
      <c r="O223" s="350">
        <f>N223/H223/12</f>
        <v>463.77857142857147</v>
      </c>
      <c r="P223" s="350">
        <f>IF(Q223&gt;0,0,IF(OR(AA223&gt;AB223,AC223&lt;AD223),0,IF(AND(AC223&gt;=AD223,AC223&lt;=AB223),O223*((AC223-AD223)*12),IF(AND(AD223&lt;=AA223,AB223&gt;=AA223),((AB223-AA223)*12)*O223,IF(AC223&gt;AB223,12*O223,0)))))</f>
        <v>5565.3428571428576</v>
      </c>
      <c r="Q223" s="350">
        <f>IF(M223=0,0,IF(AND(AE223&gt;=AD223,AE223&lt;=AC223),((AE223-AD223)*12)*O223,0))</f>
        <v>0</v>
      </c>
      <c r="R223" s="350">
        <f>IF(Q223&gt;0,Q223,P223)</f>
        <v>5565.3428571428576</v>
      </c>
      <c r="S223" s="352">
        <f>+'WP-11 - Non-Regulated'!$K$40</f>
        <v>0.5539209822239638</v>
      </c>
      <c r="T223" s="350">
        <f>S223*SUM(P223:Q223)</f>
        <v>3082.7601818416929</v>
      </c>
      <c r="U223" s="350">
        <f>IF(AA223&gt;AB223,0,IF(AC223&lt;AD223,N223,IF(AND(AC223&gt;=AD223,AC223&lt;=AB223),(N223-R223),IF(AND(AD223&lt;=AA223,AB223&gt;=AA223),0,IF(AC223&gt;AB223,((AD223-AA223)*12)*O223,0)))))</f>
        <v>15304.692857142858</v>
      </c>
      <c r="V223" s="350">
        <f>U223*S223</f>
        <v>8477.5905000646544</v>
      </c>
      <c r="W223" s="352">
        <v>1</v>
      </c>
      <c r="X223" s="350">
        <f>V223*W223</f>
        <v>8477.5905000646544</v>
      </c>
      <c r="Y223" s="350">
        <f>IF(M223&gt;0,0,X223+T223*W223)*W223</f>
        <v>11560.350681906348</v>
      </c>
      <c r="Z223" s="350">
        <f t="shared" si="266"/>
        <v>10018.9705909855</v>
      </c>
      <c r="AA223" s="350">
        <f t="shared" si="267"/>
        <v>120.25</v>
      </c>
      <c r="AB223" s="350">
        <f t="shared" si="115"/>
        <v>124</v>
      </c>
      <c r="AC223" s="350">
        <f t="shared" si="268"/>
        <v>127.25</v>
      </c>
      <c r="AD223" s="350">
        <f t="shared" si="116"/>
        <v>123</v>
      </c>
      <c r="AE223" s="350">
        <f t="shared" si="269"/>
        <v>-8.3333333333333329E-2</v>
      </c>
      <c r="AF223" s="350">
        <f>L223-((X223+Y223)/2)-Z223</f>
        <v>18919.458818029001</v>
      </c>
      <c r="AG223" s="350"/>
      <c r="AH223" s="350"/>
      <c r="AI223" s="350"/>
    </row>
    <row r="224" spans="2:37">
      <c r="B224" s="353" t="s">
        <v>657</v>
      </c>
      <c r="C224" s="289">
        <v>2020</v>
      </c>
      <c r="D224" s="289">
        <f t="shared" ref="D224:D225" si="270">+C224-1900</f>
        <v>120</v>
      </c>
      <c r="E224" s="289">
        <v>1</v>
      </c>
      <c r="F224" s="351">
        <v>0</v>
      </c>
      <c r="G224" s="344" t="s">
        <v>169</v>
      </c>
      <c r="H224" s="289">
        <v>40</v>
      </c>
      <c r="I224" s="289">
        <f t="shared" ref="I224:I225" si="271">D224+H224</f>
        <v>160</v>
      </c>
      <c r="L224" s="350">
        <v>7436.8</v>
      </c>
      <c r="M224" s="350">
        <v>0</v>
      </c>
      <c r="N224" s="350">
        <f t="shared" ref="N224:N225" si="272">L224-(+L224*F224)</f>
        <v>7436.8</v>
      </c>
      <c r="O224" s="350">
        <f t="shared" ref="O224:O225" si="273">N224/H224/12</f>
        <v>15.493333333333334</v>
      </c>
      <c r="P224" s="350">
        <f t="shared" ref="P224:P225" si="274">IF(Q224&gt;0,0,IF(OR(AA224&gt;AB224,AC224&lt;AD224),0,IF(AND(AC224&gt;=AD224,AC224&lt;=AB224),O224*((AC224-AD224)*12),IF(AND(AD224&lt;=AA224,AB224&gt;=AA224),((AB224-AA224)*12)*O224,IF(AC224&gt;AB224,12*O224,0)))))</f>
        <v>185.92000000000002</v>
      </c>
      <c r="Q224" s="350">
        <f t="shared" ref="Q224:Q225" si="275">IF(M224=0,0,IF(AND(AE224&gt;=AD224,AE224&lt;=AC224),((AE224-AD224)*12)*O224,0))</f>
        <v>0</v>
      </c>
      <c r="R224" s="350">
        <f t="shared" ref="R224:R225" si="276">IF(Q224&gt;0,Q224,P224)</f>
        <v>185.92000000000002</v>
      </c>
      <c r="S224" s="352">
        <f>+'WP-11 - Non-Regulated'!$K$40</f>
        <v>0.5539209822239638</v>
      </c>
      <c r="T224" s="350">
        <f t="shared" ref="T224:T225" si="277">S224*SUM(P224:Q224)</f>
        <v>102.98498901507936</v>
      </c>
      <c r="U224" s="350">
        <f t="shared" ref="U224:U225" si="278">IF(AA224&gt;AB224,0,IF(AC224&lt;AD224,N224,IF(AND(AC224&gt;=AD224,AC224&lt;=AB224),(N224-R224),IF(AND(AD224&lt;=AA224,AB224&gt;=AA224),0,IF(AC224&gt;AB224,((AD224-AA224)*12)*O224,0)))))</f>
        <v>557.76</v>
      </c>
      <c r="V224" s="350">
        <f t="shared" ref="V224:V225" si="279">U224*S224</f>
        <v>308.95496704523805</v>
      </c>
      <c r="W224" s="352">
        <v>1</v>
      </c>
      <c r="X224" s="350">
        <f t="shared" ref="X224:X225" si="280">V224*W224</f>
        <v>308.95496704523805</v>
      </c>
      <c r="Y224" s="350">
        <f t="shared" ref="Y224:Y225" si="281">IF(M224&gt;0,0,X224+T224*W224)*W224</f>
        <v>411.9399560603174</v>
      </c>
      <c r="Z224" s="350">
        <f t="shared" si="266"/>
        <v>3707.4596045428566</v>
      </c>
      <c r="AA224" s="350">
        <f t="shared" si="267"/>
        <v>120</v>
      </c>
      <c r="AB224" s="350">
        <f t="shared" si="112"/>
        <v>124</v>
      </c>
      <c r="AC224" s="350">
        <f t="shared" si="268"/>
        <v>160</v>
      </c>
      <c r="AD224" s="350">
        <f t="shared" si="113"/>
        <v>123</v>
      </c>
      <c r="AE224" s="350">
        <f t="shared" si="269"/>
        <v>-8.3333333333333329E-2</v>
      </c>
      <c r="AF224" s="350">
        <f t="shared" ref="AF224:AF225" si="282">L224-((X224+Y224)/2)-Z224</f>
        <v>3368.8929339043657</v>
      </c>
      <c r="AG224" s="350"/>
      <c r="AH224" s="350"/>
      <c r="AI224" s="350"/>
    </row>
    <row r="225" spans="2:35">
      <c r="B225" s="353" t="s">
        <v>658</v>
      </c>
      <c r="C225" s="289">
        <v>2020</v>
      </c>
      <c r="D225" s="289">
        <f t="shared" si="270"/>
        <v>120</v>
      </c>
      <c r="E225" s="289">
        <v>6</v>
      </c>
      <c r="F225" s="351">
        <v>0</v>
      </c>
      <c r="G225" s="344" t="s">
        <v>169</v>
      </c>
      <c r="H225" s="289">
        <v>10</v>
      </c>
      <c r="I225" s="289">
        <f t="shared" si="271"/>
        <v>130</v>
      </c>
      <c r="L225" s="350">
        <v>50877.48</v>
      </c>
      <c r="M225" s="350">
        <v>0</v>
      </c>
      <c r="N225" s="350">
        <f t="shared" si="272"/>
        <v>50877.48</v>
      </c>
      <c r="O225" s="350">
        <f t="shared" si="273"/>
        <v>423.97900000000004</v>
      </c>
      <c r="P225" s="350">
        <f t="shared" si="274"/>
        <v>5087.7480000000005</v>
      </c>
      <c r="Q225" s="350">
        <f t="shared" si="275"/>
        <v>0</v>
      </c>
      <c r="R225" s="350">
        <f t="shared" si="276"/>
        <v>5087.7480000000005</v>
      </c>
      <c r="S225" s="352">
        <f>+'WP-11 - Non-Regulated'!$K$40</f>
        <v>0.5539209822239638</v>
      </c>
      <c r="T225" s="350">
        <f t="shared" si="277"/>
        <v>2818.2103694680077</v>
      </c>
      <c r="U225" s="350">
        <f t="shared" si="278"/>
        <v>13143.348999999977</v>
      </c>
      <c r="V225" s="350">
        <f t="shared" si="279"/>
        <v>7280.3767877923392</v>
      </c>
      <c r="W225" s="352">
        <v>1</v>
      </c>
      <c r="X225" s="350">
        <f t="shared" si="280"/>
        <v>7280.3767877923392</v>
      </c>
      <c r="Y225" s="350">
        <f t="shared" si="281"/>
        <v>10098.587157260346</v>
      </c>
      <c r="Z225" s="350">
        <f t="shared" si="266"/>
        <v>18083.516537419728</v>
      </c>
      <c r="AA225" s="350">
        <f t="shared" si="267"/>
        <v>120.41666666666667</v>
      </c>
      <c r="AB225" s="350">
        <f t="shared" si="112"/>
        <v>124</v>
      </c>
      <c r="AC225" s="350">
        <f t="shared" si="268"/>
        <v>130.41666666666666</v>
      </c>
      <c r="AD225" s="350">
        <f t="shared" si="113"/>
        <v>123</v>
      </c>
      <c r="AE225" s="350">
        <f t="shared" si="269"/>
        <v>-8.3333333333333329E-2</v>
      </c>
      <c r="AF225" s="350">
        <f t="shared" si="282"/>
        <v>24104.481490053931</v>
      </c>
      <c r="AG225" s="350"/>
      <c r="AH225" s="350"/>
      <c r="AI225" s="350"/>
    </row>
    <row r="226" spans="2:35">
      <c r="B226" s="353" t="s">
        <v>678</v>
      </c>
      <c r="C226" s="289">
        <v>2021</v>
      </c>
      <c r="D226" s="289">
        <f t="shared" ref="D226" si="283">+C226-1900</f>
        <v>121</v>
      </c>
      <c r="E226" s="289">
        <v>2</v>
      </c>
      <c r="F226" s="351">
        <v>0</v>
      </c>
      <c r="G226" s="344" t="s">
        <v>169</v>
      </c>
      <c r="H226" s="289">
        <v>7</v>
      </c>
      <c r="I226" s="289">
        <f t="shared" ref="I226" si="284">D226+H226</f>
        <v>128</v>
      </c>
      <c r="L226" s="576">
        <v>2759.06</v>
      </c>
      <c r="M226" s="350">
        <v>0</v>
      </c>
      <c r="N226" s="350">
        <f t="shared" ref="N226" si="285">L226-(+L226*F226)</f>
        <v>2759.06</v>
      </c>
      <c r="O226" s="350">
        <f t="shared" ref="O226" si="286">N226/H226/12</f>
        <v>32.845952380952376</v>
      </c>
      <c r="P226" s="350">
        <f t="shared" ref="P226" si="287">IF(Q226&gt;0,0,IF(OR(AA226&gt;AB226,AC226&lt;AD226),0,IF(AND(AC226&gt;=AD226,AC226&lt;=AB226),O226*((AC226-AD226)*12),IF(AND(AD226&lt;=AA226,AB226&gt;=AA226),((AB226-AA226)*12)*O226,IF(AC226&gt;AB226,12*O226,0)))))</f>
        <v>394.15142857142848</v>
      </c>
      <c r="Q226" s="350">
        <f t="shared" ref="Q226" si="288">IF(M226=0,0,IF(AND(AE226&gt;=AD226,AE226&lt;=AC226),((AE226-AD226)*12)*O226,0))</f>
        <v>0</v>
      </c>
      <c r="R226" s="350">
        <f t="shared" ref="R226" si="289">IF(Q226&gt;0,Q226,P226)</f>
        <v>394.15142857142848</v>
      </c>
      <c r="S226" s="352">
        <f>+'WP-11 - Non-Regulated'!$K$40</f>
        <v>0.5539209822239638</v>
      </c>
      <c r="T226" s="350">
        <f t="shared" ref="T226" si="290">S226*SUM(P226:Q226)</f>
        <v>218.32874645926418</v>
      </c>
      <c r="U226" s="350">
        <f t="shared" ref="U226" si="291">IF(AA226&gt;AB226,0,IF(AC226&lt;AD226,N226,IF(AND(AC226&gt;=AD226,AC226&lt;=AB226),(N226-R226),IF(AND(AD226&lt;=AA226,AB226&gt;=AA226),0,IF(AC226&gt;AB226,((AD226-AA226)*12)*O226,0)))))</f>
        <v>755.45690476190646</v>
      </c>
      <c r="V226" s="350">
        <f t="shared" ref="V226" si="292">U226*S226</f>
        <v>418.4634307135907</v>
      </c>
      <c r="W226" s="352">
        <v>1</v>
      </c>
      <c r="X226" s="350">
        <f t="shared" ref="X226" si="293">V226*W226</f>
        <v>418.4634307135907</v>
      </c>
      <c r="Y226" s="350">
        <f t="shared" ref="Y226" si="294">IF(M226&gt;0,0,X226+T226*W226)*W226</f>
        <v>636.79217717285485</v>
      </c>
      <c r="Z226" s="350">
        <f t="shared" si="266"/>
        <v>891.50904804199467</v>
      </c>
      <c r="AA226" s="350">
        <f t="shared" si="267"/>
        <v>121.08333333333333</v>
      </c>
      <c r="AB226" s="350">
        <f t="shared" si="115"/>
        <v>124</v>
      </c>
      <c r="AC226" s="350">
        <f t="shared" si="268"/>
        <v>128.08333333333334</v>
      </c>
      <c r="AD226" s="350">
        <f t="shared" si="116"/>
        <v>123</v>
      </c>
      <c r="AE226" s="350">
        <f t="shared" si="269"/>
        <v>-8.3333333333333329E-2</v>
      </c>
      <c r="AF226" s="350">
        <f t="shared" ref="AF226" si="295">L226-((X226+Y226)/2)-Z226</f>
        <v>1339.9231480147826</v>
      </c>
      <c r="AG226" s="350"/>
      <c r="AH226" s="350"/>
      <c r="AI226" s="350"/>
    </row>
    <row r="227" spans="2:35">
      <c r="B227" s="839" t="s">
        <v>810</v>
      </c>
      <c r="C227" s="289">
        <v>1994</v>
      </c>
      <c r="D227" s="289">
        <f t="shared" ref="D227:D253" si="296">+C227-1900</f>
        <v>94</v>
      </c>
      <c r="E227" s="840">
        <v>9</v>
      </c>
      <c r="F227" s="351">
        <v>0</v>
      </c>
      <c r="G227" s="289" t="s">
        <v>169</v>
      </c>
      <c r="H227" s="840">
        <v>31</v>
      </c>
      <c r="I227" s="289">
        <f t="shared" ref="I227:I253" si="297">D227+H227</f>
        <v>125</v>
      </c>
      <c r="L227" s="840">
        <v>2378</v>
      </c>
      <c r="M227" s="350"/>
      <c r="N227" s="350">
        <f t="shared" ref="N227:N246" si="298">L227-(+L227*F227)</f>
        <v>2378</v>
      </c>
      <c r="O227" s="350">
        <f t="shared" ref="O227:O246" si="299">N227/H227/12</f>
        <v>6.3924731182795691</v>
      </c>
      <c r="P227" s="350">
        <f>IF(Q227&gt;0,0,IF(OR(AA227&gt;AB227,AC227&lt;AD227),0,IF(AND(AC227&gt;=AD227,AC227&lt;=AB227),O227*((AC227-AD227)*12),IF(AND(AD227&lt;=AA227,AB227&gt;=AA227),((AB227-AA227)*12)*O227,IF(AC227&gt;AB227,12*O227,0)))))</f>
        <v>76.709677419354833</v>
      </c>
      <c r="Q227" s="350">
        <f>IF(M227=0,0,IF(AND(AE227&gt;=AD227,AE227&lt;=AC227),((AE227-AD227)*12)*O227,0))</f>
        <v>0</v>
      </c>
      <c r="R227" s="350">
        <f>IF(Q227&gt;0,Q227,P227)</f>
        <v>76.709677419354833</v>
      </c>
      <c r="S227" s="352">
        <f>+'WP-11 - Non-Regulated'!$K$40</f>
        <v>0.5539209822239638</v>
      </c>
      <c r="T227" s="350">
        <f>S227*SUM(P227:Q227)</f>
        <v>42.491099862212444</v>
      </c>
      <c r="U227" s="350">
        <f>IF(AA227&gt;AB227,0,IF(AC227&lt;AD227,N227,IF(AND(AC227&gt;=AD227,AC227&lt;=AB227),(N227-R227),IF(AND(AD227&lt;=AA227,AB227&gt;=AA227),0,IF(AC227&gt;AB227,((AD227-AA227)*12)*O227,0)))))</f>
        <v>2173.4408602150529</v>
      </c>
      <c r="V227" s="350">
        <f>U227*S227</f>
        <v>1203.9144960960189</v>
      </c>
      <c r="W227" s="352">
        <v>1</v>
      </c>
      <c r="X227" s="350">
        <f>V227*W227</f>
        <v>1203.9144960960189</v>
      </c>
      <c r="Y227" s="350">
        <f>IF(M227&gt;0,0,X227+T227*W227)*W227</f>
        <v>1246.4055959582313</v>
      </c>
      <c r="Z227" s="350">
        <f t="shared" si="266"/>
        <v>70.818499770354407</v>
      </c>
      <c r="AA227" s="350">
        <f t="shared" si="267"/>
        <v>94.666666666666671</v>
      </c>
      <c r="AB227" s="350">
        <f t="shared" ref="AB227:AB253" si="300">($B$10+1)-($B$7/12)</f>
        <v>124</v>
      </c>
      <c r="AC227" s="350">
        <f t="shared" si="268"/>
        <v>125.66666666666667</v>
      </c>
      <c r="AD227" s="350">
        <f t="shared" ref="AD227:AD253" si="301">$B$9+($B$8/12)</f>
        <v>123</v>
      </c>
      <c r="AE227" s="350">
        <f t="shared" si="269"/>
        <v>-8.3333333333333329E-2</v>
      </c>
      <c r="AF227" s="350">
        <f t="shared" ref="AF227:AF246" si="302">L227-((X227+Y227)/2)-Z227</f>
        <v>1082.0214542025203</v>
      </c>
    </row>
    <row r="228" spans="2:35">
      <c r="B228" s="839" t="s">
        <v>811</v>
      </c>
      <c r="C228" s="289">
        <v>1994</v>
      </c>
      <c r="D228" s="289">
        <f t="shared" si="296"/>
        <v>94</v>
      </c>
      <c r="E228" s="840">
        <v>9</v>
      </c>
      <c r="F228" s="351">
        <v>0</v>
      </c>
      <c r="G228" s="289" t="s">
        <v>169</v>
      </c>
      <c r="H228" s="840">
        <v>31</v>
      </c>
      <c r="I228" s="289">
        <f t="shared" si="297"/>
        <v>125</v>
      </c>
      <c r="L228" s="840">
        <v>4007</v>
      </c>
      <c r="M228" s="350"/>
      <c r="N228" s="350">
        <f t="shared" si="298"/>
        <v>4007</v>
      </c>
      <c r="O228" s="350">
        <f t="shared" si="299"/>
        <v>10.771505376344086</v>
      </c>
      <c r="P228" s="350">
        <f t="shared" ref="P228:P246" si="303">IF(Q228&gt;0,0,IF(OR(AA228&gt;AB228,AC228&lt;AD228),0,IF(AND(AC228&gt;=AD228,AC228&lt;=AB228),O228*((AC228-AD228)*12),IF(AND(AD228&lt;=AA228,AB228&gt;=AA228),((AB228-AA228)*12)*O228,IF(AC228&gt;AB228,12*O228,0)))))</f>
        <v>129.25806451612902</v>
      </c>
      <c r="Q228" s="350">
        <f t="shared" ref="Q228:Q246" si="304">IF(M228=0,0,IF(AND(AE228&gt;=AD228,AE228&lt;=AC228),((AE228-AD228)*12)*O228,0))</f>
        <v>0</v>
      </c>
      <c r="R228" s="350">
        <f t="shared" ref="R228:R246" si="305">IF(Q228&gt;0,Q228,P228)</f>
        <v>129.25806451612902</v>
      </c>
      <c r="S228" s="352">
        <f>+'WP-11 - Non-Regulated'!$K$40</f>
        <v>0.5539209822239638</v>
      </c>
      <c r="T228" s="350">
        <f t="shared" ref="T228:T246" si="306">S228*SUM(P228:Q228)</f>
        <v>71.598754057142671</v>
      </c>
      <c r="U228" s="350">
        <f t="shared" ref="U228:U246" si="307">IF(AA228&gt;AB228,0,IF(AC228&lt;AD228,N228,IF(AND(AC228&gt;=AD228,AC228&lt;=AB228),(N228-R228),IF(AND(AD228&lt;=AA228,AB228&gt;=AA228),0,IF(AC228&gt;AB228,((AD228-AA228)*12)*O228,0)))))</f>
        <v>3662.3118279569885</v>
      </c>
      <c r="V228" s="350">
        <f t="shared" ref="V228:V246" si="308">U228*S228</f>
        <v>2028.6313649523754</v>
      </c>
      <c r="W228" s="352">
        <v>1</v>
      </c>
      <c r="X228" s="350">
        <f t="shared" ref="X228:X246" si="309">V228*W228</f>
        <v>2028.6313649523754</v>
      </c>
      <c r="Y228" s="350">
        <f t="shared" ref="Y228:Y246" si="310">IF(M228&gt;0,0,X228+T228*W228)*W228</f>
        <v>2100.2301190095181</v>
      </c>
      <c r="Z228" s="350">
        <f t="shared" si="266"/>
        <v>119.33125676190474</v>
      </c>
      <c r="AA228" s="350">
        <f t="shared" si="267"/>
        <v>94.666666666666671</v>
      </c>
      <c r="AB228" s="350">
        <f t="shared" si="300"/>
        <v>124</v>
      </c>
      <c r="AC228" s="350">
        <f t="shared" si="268"/>
        <v>125.66666666666667</v>
      </c>
      <c r="AD228" s="350">
        <f t="shared" si="301"/>
        <v>123</v>
      </c>
      <c r="AE228" s="350">
        <f t="shared" si="269"/>
        <v>-8.3333333333333329E-2</v>
      </c>
      <c r="AF228" s="350">
        <f t="shared" si="302"/>
        <v>1823.2380012571487</v>
      </c>
    </row>
    <row r="229" spans="2:35">
      <c r="B229" s="839" t="s">
        <v>812</v>
      </c>
      <c r="C229" s="289">
        <v>1994</v>
      </c>
      <c r="D229" s="289">
        <f t="shared" si="296"/>
        <v>94</v>
      </c>
      <c r="E229" s="840">
        <v>9</v>
      </c>
      <c r="F229" s="351">
        <v>0</v>
      </c>
      <c r="G229" s="289" t="s">
        <v>169</v>
      </c>
      <c r="H229" s="840">
        <v>31</v>
      </c>
      <c r="I229" s="289">
        <f t="shared" si="297"/>
        <v>125</v>
      </c>
      <c r="L229" s="840">
        <v>3066</v>
      </c>
      <c r="M229" s="350"/>
      <c r="N229" s="350">
        <f t="shared" si="298"/>
        <v>3066</v>
      </c>
      <c r="O229" s="350">
        <f t="shared" si="299"/>
        <v>8.241935483870968</v>
      </c>
      <c r="P229" s="350">
        <f t="shared" si="303"/>
        <v>98.903225806451616</v>
      </c>
      <c r="Q229" s="350">
        <f t="shared" si="304"/>
        <v>0</v>
      </c>
      <c r="R229" s="350">
        <f t="shared" si="305"/>
        <v>98.903225806451616</v>
      </c>
      <c r="S229" s="352">
        <f>+'WP-11 - Non-Regulated'!$K$40</f>
        <v>0.5539209822239638</v>
      </c>
      <c r="T229" s="350">
        <f t="shared" si="306"/>
        <v>54.784571983828165</v>
      </c>
      <c r="U229" s="350">
        <f t="shared" si="307"/>
        <v>2802.2580645161288</v>
      </c>
      <c r="V229" s="350">
        <f t="shared" si="308"/>
        <v>1552.2295395417977</v>
      </c>
      <c r="W229" s="352">
        <v>1</v>
      </c>
      <c r="X229" s="350">
        <f t="shared" si="309"/>
        <v>1552.2295395417977</v>
      </c>
      <c r="Y229" s="350">
        <f t="shared" si="310"/>
        <v>1607.0141115256258</v>
      </c>
      <c r="Z229" s="350">
        <f t="shared" si="266"/>
        <v>91.307619973047267</v>
      </c>
      <c r="AA229" s="350">
        <f t="shared" si="267"/>
        <v>94.666666666666671</v>
      </c>
      <c r="AB229" s="350">
        <f t="shared" si="300"/>
        <v>124</v>
      </c>
      <c r="AC229" s="350">
        <f t="shared" si="268"/>
        <v>125.66666666666667</v>
      </c>
      <c r="AD229" s="350">
        <f t="shared" si="301"/>
        <v>123</v>
      </c>
      <c r="AE229" s="350">
        <f t="shared" si="269"/>
        <v>-8.3333333333333329E-2</v>
      </c>
      <c r="AF229" s="350">
        <f t="shared" si="302"/>
        <v>1395.0705544932412</v>
      </c>
    </row>
    <row r="230" spans="2:35">
      <c r="B230" s="839" t="s">
        <v>813</v>
      </c>
      <c r="C230" s="289">
        <v>1994</v>
      </c>
      <c r="D230" s="289">
        <f t="shared" si="296"/>
        <v>94</v>
      </c>
      <c r="E230" s="840">
        <v>9</v>
      </c>
      <c r="F230" s="351">
        <v>0</v>
      </c>
      <c r="G230" s="289" t="s">
        <v>169</v>
      </c>
      <c r="H230" s="840">
        <v>31</v>
      </c>
      <c r="I230" s="289">
        <f t="shared" si="297"/>
        <v>125</v>
      </c>
      <c r="L230" s="840">
        <v>800</v>
      </c>
      <c r="M230" s="350"/>
      <c r="N230" s="350">
        <f t="shared" si="298"/>
        <v>800</v>
      </c>
      <c r="O230" s="350">
        <f t="shared" si="299"/>
        <v>2.150537634408602</v>
      </c>
      <c r="P230" s="350">
        <f t="shared" si="303"/>
        <v>25.806451612903224</v>
      </c>
      <c r="Q230" s="350">
        <f t="shared" si="304"/>
        <v>0</v>
      </c>
      <c r="R230" s="350">
        <f t="shared" si="305"/>
        <v>25.806451612903224</v>
      </c>
      <c r="S230" s="352">
        <f>+'WP-11 - Non-Regulated'!$K$40</f>
        <v>0.5539209822239638</v>
      </c>
      <c r="T230" s="350">
        <f t="shared" si="306"/>
        <v>14.294735025134548</v>
      </c>
      <c r="U230" s="350">
        <f t="shared" si="307"/>
        <v>731.18279569892456</v>
      </c>
      <c r="V230" s="350">
        <f t="shared" si="308"/>
        <v>405.01749237881216</v>
      </c>
      <c r="W230" s="352">
        <v>1</v>
      </c>
      <c r="X230" s="350">
        <f t="shared" si="309"/>
        <v>405.01749237881216</v>
      </c>
      <c r="Y230" s="350">
        <f t="shared" si="310"/>
        <v>419.31222740394674</v>
      </c>
      <c r="Z230" s="350">
        <f t="shared" si="266"/>
        <v>23.82455837522437</v>
      </c>
      <c r="AA230" s="350">
        <f t="shared" si="267"/>
        <v>94.666666666666671</v>
      </c>
      <c r="AB230" s="350">
        <f t="shared" si="300"/>
        <v>124</v>
      </c>
      <c r="AC230" s="350">
        <f t="shared" si="268"/>
        <v>125.66666666666667</v>
      </c>
      <c r="AD230" s="350">
        <f t="shared" si="301"/>
        <v>123</v>
      </c>
      <c r="AE230" s="350">
        <f t="shared" si="269"/>
        <v>-8.3333333333333329E-2</v>
      </c>
      <c r="AF230" s="350">
        <f t="shared" si="302"/>
        <v>364.01058173339618</v>
      </c>
    </row>
    <row r="231" spans="2:35">
      <c r="B231" s="839" t="s">
        <v>814</v>
      </c>
      <c r="C231" s="289">
        <v>1994</v>
      </c>
      <c r="D231" s="289">
        <f t="shared" si="296"/>
        <v>94</v>
      </c>
      <c r="E231" s="840">
        <v>9</v>
      </c>
      <c r="F231" s="351">
        <v>0</v>
      </c>
      <c r="G231" s="289" t="s">
        <v>169</v>
      </c>
      <c r="H231" s="840">
        <v>31</v>
      </c>
      <c r="I231" s="289">
        <f t="shared" si="297"/>
        <v>125</v>
      </c>
      <c r="L231" s="840">
        <v>728</v>
      </c>
      <c r="M231" s="350"/>
      <c r="N231" s="350">
        <f t="shared" si="298"/>
        <v>728</v>
      </c>
      <c r="O231" s="350">
        <f t="shared" si="299"/>
        <v>1.956989247311828</v>
      </c>
      <c r="P231" s="350">
        <f t="shared" si="303"/>
        <v>23.483870967741936</v>
      </c>
      <c r="Q231" s="350">
        <f t="shared" si="304"/>
        <v>0</v>
      </c>
      <c r="R231" s="350">
        <f t="shared" si="305"/>
        <v>23.483870967741936</v>
      </c>
      <c r="S231" s="352">
        <f>+'WP-11 - Non-Regulated'!$K$40</f>
        <v>0.5539209822239638</v>
      </c>
      <c r="T231" s="350">
        <f t="shared" si="306"/>
        <v>13.008208872872441</v>
      </c>
      <c r="U231" s="350">
        <f t="shared" si="307"/>
        <v>665.37634408602139</v>
      </c>
      <c r="V231" s="350">
        <f t="shared" si="308"/>
        <v>368.56591806471909</v>
      </c>
      <c r="W231" s="352">
        <v>1</v>
      </c>
      <c r="X231" s="350">
        <f t="shared" si="309"/>
        <v>368.56591806471909</v>
      </c>
      <c r="Y231" s="350">
        <f t="shared" si="310"/>
        <v>381.57412693759153</v>
      </c>
      <c r="Z231" s="350">
        <f t="shared" si="266"/>
        <v>21.680348121454124</v>
      </c>
      <c r="AA231" s="350">
        <f t="shared" si="267"/>
        <v>94.666666666666671</v>
      </c>
      <c r="AB231" s="350">
        <f t="shared" si="300"/>
        <v>124</v>
      </c>
      <c r="AC231" s="350">
        <f t="shared" si="268"/>
        <v>125.66666666666667</v>
      </c>
      <c r="AD231" s="350">
        <f t="shared" si="301"/>
        <v>123</v>
      </c>
      <c r="AE231" s="350">
        <f t="shared" si="269"/>
        <v>-8.3333333333333329E-2</v>
      </c>
      <c r="AF231" s="350">
        <f t="shared" si="302"/>
        <v>331.24962937739053</v>
      </c>
    </row>
    <row r="232" spans="2:35">
      <c r="B232" s="839" t="s">
        <v>815</v>
      </c>
      <c r="C232" s="289">
        <v>1994</v>
      </c>
      <c r="D232" s="289">
        <f t="shared" si="296"/>
        <v>94</v>
      </c>
      <c r="E232" s="840">
        <v>9</v>
      </c>
      <c r="F232" s="351">
        <v>0</v>
      </c>
      <c r="G232" s="289" t="s">
        <v>169</v>
      </c>
      <c r="H232" s="840">
        <v>31</v>
      </c>
      <c r="I232" s="289">
        <f t="shared" si="297"/>
        <v>125</v>
      </c>
      <c r="L232" s="840">
        <v>321</v>
      </c>
      <c r="M232" s="350"/>
      <c r="N232" s="350">
        <f t="shared" si="298"/>
        <v>321</v>
      </c>
      <c r="O232" s="350">
        <f t="shared" si="299"/>
        <v>0.86290322580645162</v>
      </c>
      <c r="P232" s="350">
        <f t="shared" si="303"/>
        <v>10.35483870967742</v>
      </c>
      <c r="Q232" s="350">
        <f t="shared" si="304"/>
        <v>0</v>
      </c>
      <c r="R232" s="350">
        <f t="shared" si="305"/>
        <v>10.35483870967742</v>
      </c>
      <c r="S232" s="352">
        <f>+'WP-11 - Non-Regulated'!$K$40</f>
        <v>0.5539209822239638</v>
      </c>
      <c r="T232" s="350">
        <f t="shared" si="306"/>
        <v>5.7357624288352387</v>
      </c>
      <c r="U232" s="350">
        <f t="shared" si="307"/>
        <v>293.38709677419348</v>
      </c>
      <c r="V232" s="350">
        <f t="shared" si="308"/>
        <v>162.51326881699836</v>
      </c>
      <c r="W232" s="352">
        <v>1</v>
      </c>
      <c r="X232" s="350">
        <f t="shared" si="309"/>
        <v>162.51326881699836</v>
      </c>
      <c r="Y232" s="350">
        <f t="shared" si="310"/>
        <v>168.24903124583361</v>
      </c>
      <c r="Z232" s="350">
        <f t="shared" si="266"/>
        <v>9.5596040480587572</v>
      </c>
      <c r="AA232" s="350">
        <f t="shared" si="267"/>
        <v>94.666666666666671</v>
      </c>
      <c r="AB232" s="350">
        <f t="shared" si="300"/>
        <v>124</v>
      </c>
      <c r="AC232" s="350">
        <f t="shared" si="268"/>
        <v>125.66666666666667</v>
      </c>
      <c r="AD232" s="350">
        <f t="shared" si="301"/>
        <v>123</v>
      </c>
      <c r="AE232" s="350">
        <f t="shared" si="269"/>
        <v>-8.3333333333333329E-2</v>
      </c>
      <c r="AF232" s="350">
        <f t="shared" si="302"/>
        <v>146.05924592052526</v>
      </c>
    </row>
    <row r="233" spans="2:35">
      <c r="B233" s="839" t="s">
        <v>816</v>
      </c>
      <c r="C233" s="289">
        <v>1994</v>
      </c>
      <c r="D233" s="289">
        <f t="shared" si="296"/>
        <v>94</v>
      </c>
      <c r="E233" s="840">
        <v>9</v>
      </c>
      <c r="F233" s="351">
        <v>0</v>
      </c>
      <c r="G233" s="289" t="s">
        <v>169</v>
      </c>
      <c r="H233" s="840">
        <v>31</v>
      </c>
      <c r="I233" s="289">
        <f t="shared" si="297"/>
        <v>125</v>
      </c>
      <c r="L233" s="840">
        <v>526</v>
      </c>
      <c r="M233" s="350"/>
      <c r="N233" s="350">
        <f t="shared" si="298"/>
        <v>526</v>
      </c>
      <c r="O233" s="350">
        <f t="shared" si="299"/>
        <v>1.413978494623656</v>
      </c>
      <c r="P233" s="350">
        <f t="shared" si="303"/>
        <v>16.967741935483872</v>
      </c>
      <c r="Q233" s="350">
        <f t="shared" si="304"/>
        <v>0</v>
      </c>
      <c r="R233" s="350">
        <f t="shared" si="305"/>
        <v>16.967741935483872</v>
      </c>
      <c r="S233" s="352">
        <f>+'WP-11 - Non-Regulated'!$K$40</f>
        <v>0.5539209822239638</v>
      </c>
      <c r="T233" s="350">
        <f t="shared" si="306"/>
        <v>9.3987882790259665</v>
      </c>
      <c r="U233" s="350">
        <f t="shared" si="307"/>
        <v>480.75268817204295</v>
      </c>
      <c r="V233" s="350">
        <f t="shared" si="308"/>
        <v>266.29900123906901</v>
      </c>
      <c r="W233" s="352">
        <v>1</v>
      </c>
      <c r="X233" s="350">
        <f t="shared" si="309"/>
        <v>266.29900123906901</v>
      </c>
      <c r="Y233" s="350">
        <f t="shared" si="310"/>
        <v>275.69778951809496</v>
      </c>
      <c r="Z233" s="350">
        <f t="shared" si="266"/>
        <v>15.664647131709961</v>
      </c>
      <c r="AA233" s="350">
        <f t="shared" si="267"/>
        <v>94.666666666666671</v>
      </c>
      <c r="AB233" s="350">
        <f t="shared" si="300"/>
        <v>124</v>
      </c>
      <c r="AC233" s="350">
        <f t="shared" si="268"/>
        <v>125.66666666666667</v>
      </c>
      <c r="AD233" s="350">
        <f t="shared" si="301"/>
        <v>123</v>
      </c>
      <c r="AE233" s="350">
        <f t="shared" si="269"/>
        <v>-8.3333333333333329E-2</v>
      </c>
      <c r="AF233" s="350">
        <f t="shared" si="302"/>
        <v>239.33695748970803</v>
      </c>
    </row>
    <row r="234" spans="2:35">
      <c r="B234" s="839" t="s">
        <v>817</v>
      </c>
      <c r="C234" s="289">
        <v>1994</v>
      </c>
      <c r="D234" s="289">
        <f t="shared" si="296"/>
        <v>94</v>
      </c>
      <c r="E234" s="840">
        <v>9</v>
      </c>
      <c r="F234" s="351">
        <v>0</v>
      </c>
      <c r="G234" s="289" t="s">
        <v>169</v>
      </c>
      <c r="H234" s="840">
        <v>31</v>
      </c>
      <c r="I234" s="289">
        <f t="shared" si="297"/>
        <v>125</v>
      </c>
      <c r="L234" s="840">
        <v>629</v>
      </c>
      <c r="M234" s="350"/>
      <c r="N234" s="350">
        <f t="shared" si="298"/>
        <v>629</v>
      </c>
      <c r="O234" s="350">
        <f t="shared" si="299"/>
        <v>1.6908602150537633</v>
      </c>
      <c r="P234" s="350">
        <f t="shared" si="303"/>
        <v>20.29032258064516</v>
      </c>
      <c r="Q234" s="350">
        <f t="shared" si="304"/>
        <v>0</v>
      </c>
      <c r="R234" s="350">
        <f t="shared" si="305"/>
        <v>20.29032258064516</v>
      </c>
      <c r="S234" s="352">
        <f>+'WP-11 - Non-Regulated'!$K$40</f>
        <v>0.5539209822239638</v>
      </c>
      <c r="T234" s="350">
        <f t="shared" si="306"/>
        <v>11.23923541351204</v>
      </c>
      <c r="U234" s="350">
        <f t="shared" si="307"/>
        <v>574.89247311827944</v>
      </c>
      <c r="V234" s="350">
        <f t="shared" si="308"/>
        <v>318.44500338284104</v>
      </c>
      <c r="W234" s="352">
        <v>1</v>
      </c>
      <c r="X234" s="350">
        <f t="shared" si="309"/>
        <v>318.44500338284104</v>
      </c>
      <c r="Y234" s="350">
        <f t="shared" si="310"/>
        <v>329.6842387963531</v>
      </c>
      <c r="Z234" s="350">
        <f t="shared" si="266"/>
        <v>18.732059022520158</v>
      </c>
      <c r="AA234" s="350">
        <f t="shared" si="267"/>
        <v>94.666666666666671</v>
      </c>
      <c r="AB234" s="350">
        <f t="shared" si="300"/>
        <v>124</v>
      </c>
      <c r="AC234" s="350">
        <f t="shared" si="268"/>
        <v>125.66666666666667</v>
      </c>
      <c r="AD234" s="350">
        <f t="shared" si="301"/>
        <v>123</v>
      </c>
      <c r="AE234" s="350">
        <f t="shared" si="269"/>
        <v>-8.3333333333333329E-2</v>
      </c>
      <c r="AF234" s="350">
        <f t="shared" si="302"/>
        <v>286.2033198878828</v>
      </c>
    </row>
    <row r="235" spans="2:35">
      <c r="B235" s="839" t="s">
        <v>818</v>
      </c>
      <c r="C235" s="289">
        <v>1994</v>
      </c>
      <c r="D235" s="289">
        <f t="shared" si="296"/>
        <v>94</v>
      </c>
      <c r="E235" s="840">
        <v>9</v>
      </c>
      <c r="F235" s="351">
        <v>0</v>
      </c>
      <c r="G235" s="289" t="s">
        <v>169</v>
      </c>
      <c r="H235" s="840">
        <v>31</v>
      </c>
      <c r="I235" s="289">
        <f t="shared" si="297"/>
        <v>125</v>
      </c>
      <c r="L235" s="840">
        <v>135</v>
      </c>
      <c r="M235" s="350"/>
      <c r="N235" s="350">
        <f t="shared" si="298"/>
        <v>135</v>
      </c>
      <c r="O235" s="350">
        <f t="shared" si="299"/>
        <v>0.36290322580645157</v>
      </c>
      <c r="P235" s="350">
        <f t="shared" si="303"/>
        <v>4.354838709677419</v>
      </c>
      <c r="Q235" s="350">
        <f t="shared" si="304"/>
        <v>0</v>
      </c>
      <c r="R235" s="350">
        <f t="shared" si="305"/>
        <v>4.354838709677419</v>
      </c>
      <c r="S235" s="352">
        <f>+'WP-11 - Non-Regulated'!$K$40</f>
        <v>0.5539209822239638</v>
      </c>
      <c r="T235" s="350">
        <f t="shared" si="306"/>
        <v>2.4122365354914552</v>
      </c>
      <c r="U235" s="350">
        <f t="shared" si="307"/>
        <v>123.38709677419351</v>
      </c>
      <c r="V235" s="350">
        <f t="shared" si="308"/>
        <v>68.346701838924545</v>
      </c>
      <c r="W235" s="352">
        <v>1</v>
      </c>
      <c r="X235" s="350">
        <f t="shared" si="309"/>
        <v>68.346701838924545</v>
      </c>
      <c r="Y235" s="350">
        <f t="shared" si="310"/>
        <v>70.758938374416005</v>
      </c>
      <c r="Z235" s="350">
        <f t="shared" si="266"/>
        <v>4.0203942258191114</v>
      </c>
      <c r="AA235" s="350">
        <f t="shared" si="267"/>
        <v>94.666666666666671</v>
      </c>
      <c r="AB235" s="350">
        <f t="shared" si="300"/>
        <v>124</v>
      </c>
      <c r="AC235" s="350">
        <f t="shared" si="268"/>
        <v>125.66666666666667</v>
      </c>
      <c r="AD235" s="350">
        <f t="shared" si="301"/>
        <v>123</v>
      </c>
      <c r="AE235" s="350">
        <f t="shared" si="269"/>
        <v>-8.3333333333333329E-2</v>
      </c>
      <c r="AF235" s="350">
        <f t="shared" si="302"/>
        <v>61.426785667510607</v>
      </c>
    </row>
    <row r="236" spans="2:35">
      <c r="B236" s="839" t="s">
        <v>819</v>
      </c>
      <c r="C236" s="289">
        <v>1994</v>
      </c>
      <c r="D236" s="289">
        <f t="shared" si="296"/>
        <v>94</v>
      </c>
      <c r="E236" s="840">
        <v>9</v>
      </c>
      <c r="F236" s="351">
        <v>0</v>
      </c>
      <c r="G236" s="289" t="s">
        <v>169</v>
      </c>
      <c r="H236" s="840">
        <v>31</v>
      </c>
      <c r="I236" s="289">
        <f t="shared" si="297"/>
        <v>125</v>
      </c>
      <c r="L236" s="840">
        <v>750</v>
      </c>
      <c r="M236" s="350"/>
      <c r="N236" s="350">
        <f t="shared" si="298"/>
        <v>750</v>
      </c>
      <c r="O236" s="350">
        <f t="shared" si="299"/>
        <v>2.0161290322580645</v>
      </c>
      <c r="P236" s="350">
        <f t="shared" si="303"/>
        <v>24.193548387096776</v>
      </c>
      <c r="Q236" s="350">
        <f t="shared" si="304"/>
        <v>0</v>
      </c>
      <c r="R236" s="350">
        <f t="shared" si="305"/>
        <v>24.193548387096776</v>
      </c>
      <c r="S236" s="352">
        <f>+'WP-11 - Non-Regulated'!$K$40</f>
        <v>0.5539209822239638</v>
      </c>
      <c r="T236" s="350">
        <f t="shared" si="306"/>
        <v>13.401314086063641</v>
      </c>
      <c r="U236" s="350">
        <f t="shared" si="307"/>
        <v>685.48387096774184</v>
      </c>
      <c r="V236" s="350">
        <f t="shared" si="308"/>
        <v>379.70389910513643</v>
      </c>
      <c r="W236" s="352">
        <v>1</v>
      </c>
      <c r="X236" s="350">
        <f t="shared" si="309"/>
        <v>379.70389910513643</v>
      </c>
      <c r="Y236" s="350">
        <f t="shared" si="310"/>
        <v>393.10521319120005</v>
      </c>
      <c r="Z236" s="350">
        <f t="shared" si="266"/>
        <v>22.335523476772824</v>
      </c>
      <c r="AA236" s="350">
        <f t="shared" si="267"/>
        <v>94.666666666666671</v>
      </c>
      <c r="AB236" s="350">
        <f t="shared" si="300"/>
        <v>124</v>
      </c>
      <c r="AC236" s="350">
        <f t="shared" si="268"/>
        <v>125.66666666666667</v>
      </c>
      <c r="AD236" s="350">
        <f t="shared" si="301"/>
        <v>123</v>
      </c>
      <c r="AE236" s="350">
        <f t="shared" si="269"/>
        <v>-8.3333333333333329E-2</v>
      </c>
      <c r="AF236" s="350">
        <f t="shared" si="302"/>
        <v>341.25992037505893</v>
      </c>
    </row>
    <row r="237" spans="2:35">
      <c r="B237" s="839" t="s">
        <v>820</v>
      </c>
      <c r="C237" s="289">
        <v>1994</v>
      </c>
      <c r="D237" s="289">
        <f t="shared" si="296"/>
        <v>94</v>
      </c>
      <c r="E237" s="840">
        <v>9</v>
      </c>
      <c r="F237" s="351">
        <v>0</v>
      </c>
      <c r="G237" s="289" t="s">
        <v>169</v>
      </c>
      <c r="H237" s="840">
        <v>31</v>
      </c>
      <c r="I237" s="289">
        <f t="shared" si="297"/>
        <v>125</v>
      </c>
      <c r="L237" s="840">
        <v>605</v>
      </c>
      <c r="M237" s="350"/>
      <c r="N237" s="350">
        <f t="shared" si="298"/>
        <v>605</v>
      </c>
      <c r="O237" s="350">
        <f t="shared" si="299"/>
        <v>1.6263440860215053</v>
      </c>
      <c r="P237" s="350">
        <f t="shared" si="303"/>
        <v>19.516129032258064</v>
      </c>
      <c r="Q237" s="350">
        <f t="shared" si="304"/>
        <v>0</v>
      </c>
      <c r="R237" s="350">
        <f t="shared" si="305"/>
        <v>19.516129032258064</v>
      </c>
      <c r="S237" s="352">
        <f>+'WP-11 - Non-Regulated'!$K$40</f>
        <v>0.5539209822239638</v>
      </c>
      <c r="T237" s="350">
        <f t="shared" si="306"/>
        <v>10.810393362758003</v>
      </c>
      <c r="U237" s="350">
        <f t="shared" si="307"/>
        <v>552.95698924731175</v>
      </c>
      <c r="V237" s="350">
        <f t="shared" si="308"/>
        <v>306.29447861147673</v>
      </c>
      <c r="W237" s="352">
        <v>1</v>
      </c>
      <c r="X237" s="350">
        <f t="shared" si="309"/>
        <v>306.29447861147673</v>
      </c>
      <c r="Y237" s="350">
        <f t="shared" si="310"/>
        <v>317.10487197423475</v>
      </c>
      <c r="Z237" s="350">
        <f t="shared" si="266"/>
        <v>18.017322271263389</v>
      </c>
      <c r="AA237" s="350">
        <f t="shared" si="267"/>
        <v>94.666666666666671</v>
      </c>
      <c r="AB237" s="350">
        <f t="shared" si="300"/>
        <v>124</v>
      </c>
      <c r="AC237" s="350">
        <f t="shared" si="268"/>
        <v>125.66666666666667</v>
      </c>
      <c r="AD237" s="350">
        <f t="shared" si="301"/>
        <v>123</v>
      </c>
      <c r="AE237" s="350">
        <f t="shared" si="269"/>
        <v>-8.3333333333333329E-2</v>
      </c>
      <c r="AF237" s="350">
        <f t="shared" si="302"/>
        <v>275.28300243588086</v>
      </c>
    </row>
    <row r="238" spans="2:35">
      <c r="B238" s="839" t="s">
        <v>821</v>
      </c>
      <c r="C238" s="289">
        <v>1994</v>
      </c>
      <c r="D238" s="289">
        <f t="shared" si="296"/>
        <v>94</v>
      </c>
      <c r="E238" s="840">
        <v>9</v>
      </c>
      <c r="F238" s="351">
        <v>0</v>
      </c>
      <c r="G238" s="289" t="s">
        <v>169</v>
      </c>
      <c r="H238" s="840">
        <v>31</v>
      </c>
      <c r="I238" s="289">
        <f t="shared" si="297"/>
        <v>125</v>
      </c>
      <c r="L238" s="840">
        <v>5203</v>
      </c>
      <c r="M238" s="350"/>
      <c r="N238" s="350">
        <f t="shared" si="298"/>
        <v>5203</v>
      </c>
      <c r="O238" s="350">
        <f t="shared" si="299"/>
        <v>13.986559139784946</v>
      </c>
      <c r="P238" s="350">
        <f t="shared" si="303"/>
        <v>167.83870967741936</v>
      </c>
      <c r="Q238" s="350">
        <f t="shared" si="304"/>
        <v>0</v>
      </c>
      <c r="R238" s="350">
        <f t="shared" si="305"/>
        <v>167.83870967741936</v>
      </c>
      <c r="S238" s="352">
        <f>+'WP-11 - Non-Regulated'!$K$40</f>
        <v>0.5539209822239638</v>
      </c>
      <c r="T238" s="350">
        <f t="shared" si="306"/>
        <v>92.969382919718825</v>
      </c>
      <c r="U238" s="350">
        <f t="shared" si="307"/>
        <v>4755.4301075268804</v>
      </c>
      <c r="V238" s="350">
        <f t="shared" si="308"/>
        <v>2634.1325160586994</v>
      </c>
      <c r="W238" s="352">
        <v>1</v>
      </c>
      <c r="X238" s="350">
        <f t="shared" si="309"/>
        <v>2634.1325160586994</v>
      </c>
      <c r="Y238" s="350">
        <f t="shared" si="310"/>
        <v>2727.1018989784184</v>
      </c>
      <c r="Z238" s="350">
        <f t="shared" si="266"/>
        <v>154.94897153286536</v>
      </c>
      <c r="AA238" s="350">
        <f t="shared" si="267"/>
        <v>94.666666666666671</v>
      </c>
      <c r="AB238" s="350">
        <f t="shared" si="300"/>
        <v>124</v>
      </c>
      <c r="AC238" s="350">
        <f t="shared" si="268"/>
        <v>125.66666666666667</v>
      </c>
      <c r="AD238" s="350">
        <f t="shared" si="301"/>
        <v>123</v>
      </c>
      <c r="AE238" s="350">
        <f t="shared" si="269"/>
        <v>-8.3333333333333329E-2</v>
      </c>
      <c r="AF238" s="350">
        <f t="shared" si="302"/>
        <v>2367.4338209485759</v>
      </c>
    </row>
    <row r="239" spans="2:35">
      <c r="B239" s="839" t="s">
        <v>822</v>
      </c>
      <c r="C239" s="289">
        <v>1994</v>
      </c>
      <c r="D239" s="289">
        <f t="shared" si="296"/>
        <v>94</v>
      </c>
      <c r="E239" s="840">
        <v>9</v>
      </c>
      <c r="F239" s="351">
        <v>0</v>
      </c>
      <c r="G239" s="289" t="s">
        <v>169</v>
      </c>
      <c r="H239" s="840">
        <v>31</v>
      </c>
      <c r="I239" s="289">
        <f t="shared" si="297"/>
        <v>125</v>
      </c>
      <c r="L239" s="840">
        <v>229264</v>
      </c>
      <c r="M239" s="350"/>
      <c r="N239" s="350">
        <f t="shared" si="298"/>
        <v>229264</v>
      </c>
      <c r="O239" s="350">
        <f t="shared" si="299"/>
        <v>616.30107526881727</v>
      </c>
      <c r="P239" s="350">
        <f t="shared" si="303"/>
        <v>7395.6129032258068</v>
      </c>
      <c r="Q239" s="350">
        <f t="shared" si="304"/>
        <v>0</v>
      </c>
      <c r="R239" s="350">
        <f t="shared" si="305"/>
        <v>7395.6129032258068</v>
      </c>
      <c r="S239" s="352">
        <f>+'WP-11 - Non-Regulated'!$K$40</f>
        <v>0.5539209822239638</v>
      </c>
      <c r="T239" s="350">
        <f t="shared" si="306"/>
        <v>4096.5851635030594</v>
      </c>
      <c r="U239" s="350">
        <f t="shared" si="307"/>
        <v>209542.36559139783</v>
      </c>
      <c r="V239" s="350">
        <f t="shared" si="308"/>
        <v>116069.91296592</v>
      </c>
      <c r="W239" s="352">
        <v>1</v>
      </c>
      <c r="X239" s="350">
        <f t="shared" si="309"/>
        <v>116069.91296592</v>
      </c>
      <c r="Y239" s="350">
        <f t="shared" si="310"/>
        <v>120166.49812942305</v>
      </c>
      <c r="Z239" s="350">
        <f t="shared" si="266"/>
        <v>6827.64193917177</v>
      </c>
      <c r="AA239" s="350">
        <f t="shared" si="267"/>
        <v>94.666666666666671</v>
      </c>
      <c r="AB239" s="350">
        <f t="shared" si="300"/>
        <v>124</v>
      </c>
      <c r="AC239" s="350">
        <f t="shared" si="268"/>
        <v>125.66666666666667</v>
      </c>
      <c r="AD239" s="350">
        <f t="shared" si="301"/>
        <v>123</v>
      </c>
      <c r="AE239" s="350">
        <f t="shared" si="269"/>
        <v>-8.3333333333333329E-2</v>
      </c>
      <c r="AF239" s="350">
        <f t="shared" si="302"/>
        <v>104318.1525131567</v>
      </c>
    </row>
    <row r="240" spans="2:35">
      <c r="B240" s="839" t="s">
        <v>823</v>
      </c>
      <c r="C240" s="289">
        <v>1995</v>
      </c>
      <c r="D240" s="289">
        <f t="shared" si="296"/>
        <v>95</v>
      </c>
      <c r="E240" s="840">
        <v>7</v>
      </c>
      <c r="F240" s="351">
        <v>0</v>
      </c>
      <c r="G240" s="289" t="s">
        <v>169</v>
      </c>
      <c r="H240" s="840">
        <v>31</v>
      </c>
      <c r="I240" s="289">
        <f t="shared" si="297"/>
        <v>126</v>
      </c>
      <c r="L240" s="840">
        <v>5869</v>
      </c>
      <c r="M240" s="350"/>
      <c r="N240" s="350">
        <f t="shared" si="298"/>
        <v>5869</v>
      </c>
      <c r="O240" s="350">
        <f t="shared" si="299"/>
        <v>15.776881720430106</v>
      </c>
      <c r="P240" s="350">
        <f t="shared" si="303"/>
        <v>189.32258064516128</v>
      </c>
      <c r="Q240" s="350">
        <f t="shared" si="304"/>
        <v>0</v>
      </c>
      <c r="R240" s="350">
        <f t="shared" si="305"/>
        <v>189.32258064516128</v>
      </c>
      <c r="S240" s="352">
        <f>+'WP-11 - Non-Regulated'!$K$40</f>
        <v>0.5539209822239638</v>
      </c>
      <c r="T240" s="350">
        <f t="shared" si="306"/>
        <v>104.86974982814334</v>
      </c>
      <c r="U240" s="350">
        <f t="shared" si="307"/>
        <v>5206.3709677419347</v>
      </c>
      <c r="V240" s="350">
        <f t="shared" si="308"/>
        <v>2883.9181202739414</v>
      </c>
      <c r="W240" s="352">
        <v>1</v>
      </c>
      <c r="X240" s="350">
        <f t="shared" si="309"/>
        <v>2883.9181202739414</v>
      </c>
      <c r="Y240" s="350">
        <f t="shared" si="310"/>
        <v>2988.787870102085</v>
      </c>
      <c r="Z240" s="350">
        <f t="shared" si="266"/>
        <v>262.17437457035845</v>
      </c>
      <c r="AA240" s="350">
        <f t="shared" si="267"/>
        <v>95.5</v>
      </c>
      <c r="AB240" s="350">
        <f t="shared" si="300"/>
        <v>124</v>
      </c>
      <c r="AC240" s="350">
        <f t="shared" si="268"/>
        <v>126.5</v>
      </c>
      <c r="AD240" s="350">
        <f t="shared" si="301"/>
        <v>123</v>
      </c>
      <c r="AE240" s="350">
        <f t="shared" si="269"/>
        <v>-8.3333333333333329E-2</v>
      </c>
      <c r="AF240" s="350">
        <f t="shared" si="302"/>
        <v>2670.4726302416284</v>
      </c>
    </row>
    <row r="241" spans="2:35">
      <c r="B241" s="839" t="s">
        <v>824</v>
      </c>
      <c r="C241" s="289">
        <v>1997</v>
      </c>
      <c r="D241" s="289">
        <f t="shared" si="296"/>
        <v>97</v>
      </c>
      <c r="E241" s="840">
        <v>11</v>
      </c>
      <c r="F241" s="351">
        <v>0</v>
      </c>
      <c r="G241" s="289" t="s">
        <v>169</v>
      </c>
      <c r="H241" s="840">
        <v>39</v>
      </c>
      <c r="I241" s="289">
        <f t="shared" si="297"/>
        <v>136</v>
      </c>
      <c r="L241" s="840">
        <v>420896</v>
      </c>
      <c r="M241" s="350"/>
      <c r="N241" s="350">
        <f t="shared" si="298"/>
        <v>420896</v>
      </c>
      <c r="O241" s="350">
        <f t="shared" si="299"/>
        <v>899.35042735042737</v>
      </c>
      <c r="P241" s="350">
        <f t="shared" si="303"/>
        <v>10792.205128205129</v>
      </c>
      <c r="Q241" s="350">
        <f t="shared" si="304"/>
        <v>0</v>
      </c>
      <c r="R241" s="350">
        <f t="shared" si="305"/>
        <v>10792.205128205129</v>
      </c>
      <c r="S241" s="352">
        <f>+'WP-11 - Non-Regulated'!$K$40</f>
        <v>0.5539209822239638</v>
      </c>
      <c r="T241" s="350">
        <f t="shared" si="306"/>
        <v>5978.028864977884</v>
      </c>
      <c r="U241" s="350">
        <f t="shared" si="307"/>
        <v>271603.82905982912</v>
      </c>
      <c r="V241" s="350">
        <f t="shared" si="308"/>
        <v>150447.05976861011</v>
      </c>
      <c r="W241" s="352">
        <v>1</v>
      </c>
      <c r="X241" s="350">
        <f t="shared" si="309"/>
        <v>150447.05976861011</v>
      </c>
      <c r="Y241" s="350">
        <f t="shared" si="310"/>
        <v>156425.08863358799</v>
      </c>
      <c r="Z241" s="350">
        <f t="shared" si="266"/>
        <v>76718.037100549482</v>
      </c>
      <c r="AA241" s="350">
        <f t="shared" si="267"/>
        <v>97.833333333333329</v>
      </c>
      <c r="AB241" s="350">
        <f t="shared" si="300"/>
        <v>124</v>
      </c>
      <c r="AC241" s="350">
        <f t="shared" si="268"/>
        <v>136.83333333333334</v>
      </c>
      <c r="AD241" s="350">
        <f t="shared" si="301"/>
        <v>123</v>
      </c>
      <c r="AE241" s="350">
        <f t="shared" si="269"/>
        <v>-8.3333333333333329E-2</v>
      </c>
      <c r="AF241" s="350">
        <f t="shared" si="302"/>
        <v>190741.88869835145</v>
      </c>
    </row>
    <row r="242" spans="2:35">
      <c r="B242" s="839" t="s">
        <v>825</v>
      </c>
      <c r="C242" s="289">
        <v>1998</v>
      </c>
      <c r="D242" s="289">
        <f t="shared" si="296"/>
        <v>98</v>
      </c>
      <c r="E242" s="840">
        <v>7</v>
      </c>
      <c r="F242" s="351">
        <v>0</v>
      </c>
      <c r="G242" s="289" t="s">
        <v>169</v>
      </c>
      <c r="H242" s="840">
        <v>39</v>
      </c>
      <c r="I242" s="289">
        <f t="shared" si="297"/>
        <v>137</v>
      </c>
      <c r="L242" s="840">
        <v>111494</v>
      </c>
      <c r="M242" s="350"/>
      <c r="N242" s="350">
        <f t="shared" si="298"/>
        <v>111494</v>
      </c>
      <c r="O242" s="350">
        <f t="shared" si="299"/>
        <v>238.23504273504273</v>
      </c>
      <c r="P242" s="350">
        <f t="shared" si="303"/>
        <v>2858.8205128205127</v>
      </c>
      <c r="Q242" s="350">
        <f t="shared" si="304"/>
        <v>0</v>
      </c>
      <c r="R242" s="350">
        <f t="shared" si="305"/>
        <v>2858.8205128205127</v>
      </c>
      <c r="S242" s="352">
        <f>+'WP-11 - Non-Regulated'!$K$40</f>
        <v>0.5539209822239638</v>
      </c>
      <c r="T242" s="350">
        <f t="shared" si="306"/>
        <v>1583.5606664635543</v>
      </c>
      <c r="U242" s="350">
        <f t="shared" si="307"/>
        <v>70041.102564102563</v>
      </c>
      <c r="V242" s="350">
        <f t="shared" si="308"/>
        <v>38797.236328357081</v>
      </c>
      <c r="W242" s="352">
        <v>1</v>
      </c>
      <c r="X242" s="350">
        <f t="shared" si="309"/>
        <v>38797.236328357081</v>
      </c>
      <c r="Y242" s="350">
        <f t="shared" si="310"/>
        <v>40380.796994820637</v>
      </c>
      <c r="Z242" s="350">
        <f t="shared" si="266"/>
        <v>21378.068997257982</v>
      </c>
      <c r="AA242" s="350">
        <f t="shared" si="267"/>
        <v>98.5</v>
      </c>
      <c r="AB242" s="350">
        <f t="shared" si="300"/>
        <v>124</v>
      </c>
      <c r="AC242" s="350">
        <f t="shared" si="268"/>
        <v>137.5</v>
      </c>
      <c r="AD242" s="350">
        <f t="shared" si="301"/>
        <v>123</v>
      </c>
      <c r="AE242" s="350">
        <f t="shared" si="269"/>
        <v>-8.3333333333333329E-2</v>
      </c>
      <c r="AF242" s="350">
        <f t="shared" si="302"/>
        <v>50526.914341153155</v>
      </c>
    </row>
    <row r="243" spans="2:35">
      <c r="B243" s="839" t="s">
        <v>826</v>
      </c>
      <c r="C243" s="289">
        <v>2001</v>
      </c>
      <c r="D243" s="289">
        <f t="shared" si="296"/>
        <v>101</v>
      </c>
      <c r="E243" s="840">
        <v>12</v>
      </c>
      <c r="F243" s="351">
        <v>0</v>
      </c>
      <c r="G243" s="289" t="s">
        <v>169</v>
      </c>
      <c r="H243" s="840">
        <v>39</v>
      </c>
      <c r="I243" s="289">
        <f t="shared" si="297"/>
        <v>140</v>
      </c>
      <c r="L243" s="840">
        <v>20083</v>
      </c>
      <c r="M243" s="350"/>
      <c r="N243" s="350">
        <f t="shared" si="298"/>
        <v>20083</v>
      </c>
      <c r="O243" s="350">
        <f t="shared" si="299"/>
        <v>42.912393162393158</v>
      </c>
      <c r="P243" s="350">
        <f t="shared" si="303"/>
        <v>514.9487179487179</v>
      </c>
      <c r="Q243" s="350">
        <f t="shared" si="304"/>
        <v>0</v>
      </c>
      <c r="R243" s="350">
        <f t="shared" si="305"/>
        <v>514.9487179487179</v>
      </c>
      <c r="S243" s="352">
        <f>+'WP-11 - Non-Regulated'!$K$40</f>
        <v>0.5539209822239638</v>
      </c>
      <c r="T243" s="350">
        <f t="shared" si="306"/>
        <v>285.24089964112471</v>
      </c>
      <c r="U243" s="350">
        <f t="shared" si="307"/>
        <v>10856.835470085467</v>
      </c>
      <c r="V243" s="350">
        <f t="shared" si="308"/>
        <v>6013.828967433712</v>
      </c>
      <c r="W243" s="352">
        <v>1</v>
      </c>
      <c r="X243" s="350">
        <f t="shared" si="309"/>
        <v>6013.828967433712</v>
      </c>
      <c r="Y243" s="350">
        <f t="shared" si="310"/>
        <v>6299.069867074837</v>
      </c>
      <c r="Z243" s="350">
        <f t="shared" si="266"/>
        <v>4825.3252189290288</v>
      </c>
      <c r="AA243" s="350">
        <f t="shared" si="267"/>
        <v>101.91666666666667</v>
      </c>
      <c r="AB243" s="350">
        <f t="shared" si="300"/>
        <v>124</v>
      </c>
      <c r="AC243" s="350">
        <f t="shared" si="268"/>
        <v>140.91666666666666</v>
      </c>
      <c r="AD243" s="350">
        <f t="shared" si="301"/>
        <v>123</v>
      </c>
      <c r="AE243" s="350">
        <f t="shared" si="269"/>
        <v>-8.3333333333333329E-2</v>
      </c>
      <c r="AF243" s="350">
        <f t="shared" si="302"/>
        <v>9101.2253638166967</v>
      </c>
    </row>
    <row r="244" spans="2:35">
      <c r="B244" s="839" t="s">
        <v>827</v>
      </c>
      <c r="C244" s="289">
        <v>1994</v>
      </c>
      <c r="D244" s="289">
        <f t="shared" si="296"/>
        <v>94</v>
      </c>
      <c r="E244" s="840">
        <v>6</v>
      </c>
      <c r="F244" s="351">
        <v>0</v>
      </c>
      <c r="G244" s="289" t="s">
        <v>169</v>
      </c>
      <c r="H244" s="840">
        <v>31</v>
      </c>
      <c r="I244" s="289">
        <f t="shared" si="297"/>
        <v>125</v>
      </c>
      <c r="L244" s="840">
        <v>14083</v>
      </c>
      <c r="M244" s="350"/>
      <c r="N244" s="350">
        <f t="shared" si="298"/>
        <v>14083</v>
      </c>
      <c r="O244" s="350">
        <f t="shared" si="299"/>
        <v>37.857526881720432</v>
      </c>
      <c r="P244" s="350">
        <f t="shared" si="303"/>
        <v>454.29032258064518</v>
      </c>
      <c r="Q244" s="350">
        <f t="shared" si="304"/>
        <v>0</v>
      </c>
      <c r="R244" s="350">
        <f t="shared" si="305"/>
        <v>454.29032258064518</v>
      </c>
      <c r="S244" s="352">
        <f>+'WP-11 - Non-Regulated'!$K$40</f>
        <v>0.5539209822239638</v>
      </c>
      <c r="T244" s="350">
        <f t="shared" si="306"/>
        <v>251.64094169871234</v>
      </c>
      <c r="U244" s="350">
        <f t="shared" si="307"/>
        <v>12985.131720430107</v>
      </c>
      <c r="V244" s="350">
        <f t="shared" si="308"/>
        <v>7192.7369168881933</v>
      </c>
      <c r="W244" s="352">
        <v>1</v>
      </c>
      <c r="X244" s="350">
        <f t="shared" si="309"/>
        <v>7192.7369168881933</v>
      </c>
      <c r="Y244" s="350">
        <f t="shared" si="310"/>
        <v>7444.3778585869059</v>
      </c>
      <c r="Z244" s="350">
        <f t="shared" si="266"/>
        <v>356.49133407317692</v>
      </c>
      <c r="AA244" s="350">
        <f t="shared" si="267"/>
        <v>94.416666666666671</v>
      </c>
      <c r="AB244" s="350">
        <f t="shared" si="300"/>
        <v>124</v>
      </c>
      <c r="AC244" s="350">
        <f t="shared" si="268"/>
        <v>125.41666666666667</v>
      </c>
      <c r="AD244" s="350">
        <f t="shared" si="301"/>
        <v>123</v>
      </c>
      <c r="AE244" s="350">
        <f t="shared" si="269"/>
        <v>-8.3333333333333329E-2</v>
      </c>
      <c r="AF244" s="350">
        <f t="shared" si="302"/>
        <v>6407.9512781892727</v>
      </c>
    </row>
    <row r="245" spans="2:35">
      <c r="B245" s="839" t="s">
        <v>828</v>
      </c>
      <c r="C245" s="289">
        <v>1994</v>
      </c>
      <c r="D245" s="289">
        <f t="shared" si="296"/>
        <v>94</v>
      </c>
      <c r="E245" s="840">
        <v>9</v>
      </c>
      <c r="F245" s="351">
        <v>0</v>
      </c>
      <c r="G245" s="289" t="s">
        <v>169</v>
      </c>
      <c r="H245" s="840">
        <v>31</v>
      </c>
      <c r="I245" s="289">
        <f t="shared" si="297"/>
        <v>125</v>
      </c>
      <c r="L245" s="840">
        <v>33692</v>
      </c>
      <c r="M245" s="350"/>
      <c r="N245" s="350">
        <f t="shared" si="298"/>
        <v>33692</v>
      </c>
      <c r="O245" s="350">
        <f t="shared" si="299"/>
        <v>90.569892473118273</v>
      </c>
      <c r="P245" s="350">
        <f t="shared" si="303"/>
        <v>1086.8387096774193</v>
      </c>
      <c r="Q245" s="350">
        <f t="shared" si="304"/>
        <v>0</v>
      </c>
      <c r="R245" s="350">
        <f t="shared" si="305"/>
        <v>1086.8387096774193</v>
      </c>
      <c r="S245" s="352">
        <f>+'WP-11 - Non-Regulated'!$K$40</f>
        <v>0.5539209822239638</v>
      </c>
      <c r="T245" s="350">
        <f t="shared" si="306"/>
        <v>602.02276558354151</v>
      </c>
      <c r="U245" s="350">
        <f t="shared" si="307"/>
        <v>30793.763440860206</v>
      </c>
      <c r="V245" s="350">
        <f t="shared" si="308"/>
        <v>17057.311691533672</v>
      </c>
      <c r="W245" s="352">
        <v>1</v>
      </c>
      <c r="X245" s="350">
        <f t="shared" si="309"/>
        <v>17057.311691533672</v>
      </c>
      <c r="Y245" s="350">
        <f t="shared" si="310"/>
        <v>17659.334457117213</v>
      </c>
      <c r="Z245" s="350">
        <f t="shared" si="266"/>
        <v>1003.3712759725736</v>
      </c>
      <c r="AA245" s="350">
        <f t="shared" si="267"/>
        <v>94.666666666666671</v>
      </c>
      <c r="AB245" s="350">
        <f t="shared" si="300"/>
        <v>124</v>
      </c>
      <c r="AC245" s="350">
        <f t="shared" si="268"/>
        <v>125.66666666666667</v>
      </c>
      <c r="AD245" s="350">
        <f t="shared" si="301"/>
        <v>123</v>
      </c>
      <c r="AE245" s="350">
        <f t="shared" si="269"/>
        <v>-8.3333333333333329E-2</v>
      </c>
      <c r="AF245" s="350">
        <f t="shared" si="302"/>
        <v>15330.305649701984</v>
      </c>
    </row>
    <row r="246" spans="2:35">
      <c r="B246" s="839" t="s">
        <v>829</v>
      </c>
      <c r="C246" s="289">
        <v>2004</v>
      </c>
      <c r="D246" s="289">
        <f t="shared" si="296"/>
        <v>104</v>
      </c>
      <c r="E246" s="840">
        <v>1</v>
      </c>
      <c r="F246" s="351">
        <v>0</v>
      </c>
      <c r="G246" s="289" t="s">
        <v>169</v>
      </c>
      <c r="H246" s="840">
        <v>50</v>
      </c>
      <c r="I246" s="289">
        <f t="shared" si="297"/>
        <v>154</v>
      </c>
      <c r="L246" s="840">
        <v>6754</v>
      </c>
      <c r="M246" s="350"/>
      <c r="N246" s="350">
        <f t="shared" si="298"/>
        <v>6754</v>
      </c>
      <c r="O246" s="350">
        <f t="shared" si="299"/>
        <v>11.256666666666668</v>
      </c>
      <c r="P246" s="350">
        <f t="shared" si="303"/>
        <v>135.08000000000001</v>
      </c>
      <c r="Q246" s="350">
        <f t="shared" si="304"/>
        <v>0</v>
      </c>
      <c r="R246" s="350">
        <f t="shared" si="305"/>
        <v>135.08000000000001</v>
      </c>
      <c r="S246" s="352">
        <f>+'WP-11 - Non-Regulated'!$K$40</f>
        <v>0.5539209822239638</v>
      </c>
      <c r="T246" s="350">
        <f t="shared" si="306"/>
        <v>74.823646278813044</v>
      </c>
      <c r="U246" s="350">
        <f t="shared" si="307"/>
        <v>2566.5200000000004</v>
      </c>
      <c r="V246" s="350">
        <f t="shared" si="308"/>
        <v>1421.6492792974477</v>
      </c>
      <c r="W246" s="352">
        <v>1</v>
      </c>
      <c r="X246" s="350">
        <f t="shared" si="309"/>
        <v>1421.6492792974477</v>
      </c>
      <c r="Y246" s="350">
        <f t="shared" si="310"/>
        <v>1496.4729255762609</v>
      </c>
      <c r="Z246" s="350">
        <f t="shared" si="266"/>
        <v>2244.7093883643906</v>
      </c>
      <c r="AA246" s="350">
        <f t="shared" si="267"/>
        <v>104</v>
      </c>
      <c r="AB246" s="350">
        <f t="shared" si="300"/>
        <v>124</v>
      </c>
      <c r="AC246" s="350">
        <f t="shared" si="268"/>
        <v>154</v>
      </c>
      <c r="AD246" s="350">
        <f t="shared" si="301"/>
        <v>123</v>
      </c>
      <c r="AE246" s="350">
        <f t="shared" si="269"/>
        <v>-8.3333333333333329E-2</v>
      </c>
      <c r="AF246" s="350">
        <f t="shared" si="302"/>
        <v>3050.2295091987548</v>
      </c>
    </row>
    <row r="247" spans="2:35">
      <c r="B247" s="837" t="s">
        <v>1217</v>
      </c>
      <c r="C247" s="289">
        <v>1996</v>
      </c>
      <c r="D247" s="289">
        <f t="shared" si="296"/>
        <v>96</v>
      </c>
      <c r="E247" s="289">
        <v>1</v>
      </c>
      <c r="F247" s="351">
        <v>0</v>
      </c>
      <c r="G247" s="344" t="s">
        <v>169</v>
      </c>
      <c r="H247" s="289">
        <v>15</v>
      </c>
      <c r="I247" s="289">
        <f t="shared" si="297"/>
        <v>111</v>
      </c>
      <c r="L247" s="838">
        <v>10189</v>
      </c>
      <c r="M247" s="350"/>
      <c r="N247" s="350">
        <f t="shared" ref="N247:N253" si="311">L247-(+L247*F247)</f>
        <v>10189</v>
      </c>
      <c r="O247" s="350">
        <f t="shared" ref="O247:O253" si="312">N247/H247/12</f>
        <v>56.605555555555554</v>
      </c>
      <c r="P247" s="350">
        <f t="shared" ref="P247:P253" si="313">IF(Q247&gt;0,0,IF(OR(AA247&gt;AB247,AC247&lt;AD247),0,IF(AND(AC247&gt;=AD247,AC247&lt;=AB247),O247*((AC247-AD247)*12),IF(AND(AD247&lt;=AA247,AB247&gt;=AA247),((AB247-AA247)*12)*O247,IF(AC247&gt;AB247,12*O247,0)))))</f>
        <v>0</v>
      </c>
      <c r="Q247" s="350">
        <f t="shared" ref="Q247:Q253" si="314">IF(M247=0,0,IF(AND(AE247&gt;=AD247,AE247&lt;=AC247),((AE247-AD247)*12)*O247,0))</f>
        <v>0</v>
      </c>
      <c r="R247" s="350">
        <f t="shared" ref="R247:R253" si="315">IF(Q247&gt;0,Q247,P247)</f>
        <v>0</v>
      </c>
      <c r="S247" s="352">
        <f>+'WP-11 - Non-Regulated'!$K$40</f>
        <v>0.5539209822239638</v>
      </c>
      <c r="T247" s="350">
        <f t="shared" ref="T247:T253" si="316">S247*SUM(P247:Q247)</f>
        <v>0</v>
      </c>
      <c r="U247" s="350">
        <f t="shared" ref="U247:U253" si="317">IF(AA247&gt;AB247,0,IF(AC247&lt;AD247,N247,IF(AND(AC247&gt;=AD247,AC247&lt;=AB247),(N247-R247),IF(AND(AD247&lt;=AA247,AB247&gt;=AA247),0,IF(AC247&gt;AB247,((AD247-AA247)*12)*O247,0)))))</f>
        <v>10189</v>
      </c>
      <c r="V247" s="350">
        <f t="shared" ref="V247:V253" si="318">U247*S247</f>
        <v>5643.9008878799668</v>
      </c>
      <c r="W247" s="352">
        <v>1</v>
      </c>
      <c r="X247" s="350">
        <f t="shared" ref="X247:X253" si="319">V247*W247</f>
        <v>5643.9008878799668</v>
      </c>
      <c r="Y247" s="350">
        <f t="shared" ref="Y247:Y253" si="320">IF(M247&gt;0,0,X247+T247*W247)*W247</f>
        <v>5643.9008878799668</v>
      </c>
      <c r="Z247" s="350">
        <f t="shared" si="266"/>
        <v>0</v>
      </c>
      <c r="AA247" s="350">
        <f t="shared" ref="AA247:AA253" si="321">$D247+(($E247-1)/12)</f>
        <v>96</v>
      </c>
      <c r="AB247" s="350">
        <f t="shared" si="300"/>
        <v>124</v>
      </c>
      <c r="AC247" s="350">
        <f t="shared" ref="AC247:AC253" si="322">$I247+(($E247-1)/12)</f>
        <v>111</v>
      </c>
      <c r="AD247" s="350">
        <f t="shared" si="301"/>
        <v>123</v>
      </c>
      <c r="AE247" s="350">
        <f t="shared" ref="AE247:AE253" si="323">$J247+(($K247-1)/12)</f>
        <v>-8.3333333333333329E-2</v>
      </c>
      <c r="AF247" s="350">
        <f t="shared" ref="AF247:AF253" si="324">L247-((X247+Y247)/2)-Z247</f>
        <v>4545.0991121200332</v>
      </c>
      <c r="AG247" s="350"/>
      <c r="AH247" s="350"/>
      <c r="AI247" s="350"/>
    </row>
    <row r="248" spans="2:35">
      <c r="B248" s="837" t="s">
        <v>1218</v>
      </c>
      <c r="C248" s="289">
        <v>1995</v>
      </c>
      <c r="D248" s="289">
        <f t="shared" si="296"/>
        <v>95</v>
      </c>
      <c r="E248" s="289">
        <v>1</v>
      </c>
      <c r="F248" s="351">
        <v>0</v>
      </c>
      <c r="G248" s="344" t="s">
        <v>169</v>
      </c>
      <c r="H248" s="289">
        <v>15</v>
      </c>
      <c r="I248" s="289">
        <f t="shared" si="297"/>
        <v>110</v>
      </c>
      <c r="L248" s="838">
        <v>1090</v>
      </c>
      <c r="M248" s="350"/>
      <c r="N248" s="350">
        <f t="shared" si="311"/>
        <v>1090</v>
      </c>
      <c r="O248" s="350">
        <f t="shared" si="312"/>
        <v>6.0555555555555562</v>
      </c>
      <c r="P248" s="350">
        <f t="shared" si="313"/>
        <v>0</v>
      </c>
      <c r="Q248" s="350">
        <f t="shared" si="314"/>
        <v>0</v>
      </c>
      <c r="R248" s="350">
        <f t="shared" si="315"/>
        <v>0</v>
      </c>
      <c r="S248" s="352">
        <f>+'WP-11 - Non-Regulated'!$K$40</f>
        <v>0.5539209822239638</v>
      </c>
      <c r="T248" s="350">
        <f t="shared" si="316"/>
        <v>0</v>
      </c>
      <c r="U248" s="350">
        <f t="shared" si="317"/>
        <v>1090</v>
      </c>
      <c r="V248" s="350">
        <f t="shared" si="318"/>
        <v>603.77387062412049</v>
      </c>
      <c r="W248" s="352">
        <v>1</v>
      </c>
      <c r="X248" s="350">
        <f t="shared" si="319"/>
        <v>603.77387062412049</v>
      </c>
      <c r="Y248" s="350">
        <f t="shared" si="320"/>
        <v>603.77387062412049</v>
      </c>
      <c r="Z248" s="350">
        <f t="shared" si="266"/>
        <v>0</v>
      </c>
      <c r="AA248" s="350">
        <f t="shared" si="321"/>
        <v>95</v>
      </c>
      <c r="AB248" s="350">
        <f t="shared" si="300"/>
        <v>124</v>
      </c>
      <c r="AC248" s="350">
        <f t="shared" si="322"/>
        <v>110</v>
      </c>
      <c r="AD248" s="350">
        <f t="shared" si="301"/>
        <v>123</v>
      </c>
      <c r="AE248" s="350">
        <f t="shared" si="323"/>
        <v>-8.3333333333333329E-2</v>
      </c>
      <c r="AF248" s="350">
        <f t="shared" si="324"/>
        <v>486.22612937587951</v>
      </c>
      <c r="AG248" s="350"/>
      <c r="AH248" s="350"/>
      <c r="AI248" s="350"/>
    </row>
    <row r="249" spans="2:35">
      <c r="B249" s="837" t="s">
        <v>1219</v>
      </c>
      <c r="C249" s="289">
        <v>1997</v>
      </c>
      <c r="D249" s="289">
        <f t="shared" si="296"/>
        <v>97</v>
      </c>
      <c r="E249" s="289">
        <v>1</v>
      </c>
      <c r="F249" s="351">
        <v>0</v>
      </c>
      <c r="G249" s="344" t="s">
        <v>169</v>
      </c>
      <c r="H249" s="289">
        <v>15</v>
      </c>
      <c r="I249" s="289">
        <f t="shared" si="297"/>
        <v>112</v>
      </c>
      <c r="L249" s="838">
        <v>35157</v>
      </c>
      <c r="M249" s="350"/>
      <c r="N249" s="350">
        <f t="shared" si="311"/>
        <v>35157</v>
      </c>
      <c r="O249" s="350">
        <f t="shared" si="312"/>
        <v>195.31666666666669</v>
      </c>
      <c r="P249" s="350">
        <f t="shared" si="313"/>
        <v>0</v>
      </c>
      <c r="Q249" s="350">
        <f t="shared" si="314"/>
        <v>0</v>
      </c>
      <c r="R249" s="350">
        <f t="shared" si="315"/>
        <v>0</v>
      </c>
      <c r="S249" s="352">
        <f>+'WP-11 - Non-Regulated'!$K$40</f>
        <v>0.5539209822239638</v>
      </c>
      <c r="T249" s="350">
        <f t="shared" si="316"/>
        <v>0</v>
      </c>
      <c r="U249" s="350">
        <f t="shared" si="317"/>
        <v>35157</v>
      </c>
      <c r="V249" s="350">
        <f t="shared" si="318"/>
        <v>19474.199972047896</v>
      </c>
      <c r="W249" s="352">
        <v>1</v>
      </c>
      <c r="X249" s="350">
        <f t="shared" si="319"/>
        <v>19474.199972047896</v>
      </c>
      <c r="Y249" s="350">
        <f t="shared" si="320"/>
        <v>19474.199972047896</v>
      </c>
      <c r="Z249" s="350">
        <f t="shared" si="266"/>
        <v>0</v>
      </c>
      <c r="AA249" s="350">
        <f t="shared" si="321"/>
        <v>97</v>
      </c>
      <c r="AB249" s="350">
        <f t="shared" si="300"/>
        <v>124</v>
      </c>
      <c r="AC249" s="350">
        <f t="shared" si="322"/>
        <v>112</v>
      </c>
      <c r="AD249" s="350">
        <f t="shared" si="301"/>
        <v>123</v>
      </c>
      <c r="AE249" s="350">
        <f t="shared" si="323"/>
        <v>-8.3333333333333329E-2</v>
      </c>
      <c r="AF249" s="350">
        <f t="shared" si="324"/>
        <v>15682.800027952104</v>
      </c>
      <c r="AG249" s="350"/>
      <c r="AH249" s="350"/>
      <c r="AI249" s="350"/>
    </row>
    <row r="250" spans="2:35">
      <c r="B250" s="837" t="s">
        <v>1220</v>
      </c>
      <c r="C250" s="289">
        <v>1998</v>
      </c>
      <c r="D250" s="289">
        <f t="shared" si="296"/>
        <v>98</v>
      </c>
      <c r="E250" s="289">
        <v>1</v>
      </c>
      <c r="F250" s="351">
        <v>0</v>
      </c>
      <c r="G250" s="344" t="s">
        <v>169</v>
      </c>
      <c r="H250" s="289">
        <v>15</v>
      </c>
      <c r="I250" s="289">
        <f t="shared" si="297"/>
        <v>113</v>
      </c>
      <c r="L250" s="838">
        <v>10888</v>
      </c>
      <c r="M250" s="350"/>
      <c r="N250" s="350">
        <f t="shared" si="311"/>
        <v>10888</v>
      </c>
      <c r="O250" s="350">
        <f t="shared" si="312"/>
        <v>60.488888888888887</v>
      </c>
      <c r="P250" s="350">
        <f t="shared" si="313"/>
        <v>0</v>
      </c>
      <c r="Q250" s="350">
        <f t="shared" si="314"/>
        <v>0</v>
      </c>
      <c r="R250" s="350">
        <f t="shared" si="315"/>
        <v>0</v>
      </c>
      <c r="S250" s="352">
        <f>+'WP-11 - Non-Regulated'!$K$40</f>
        <v>0.5539209822239638</v>
      </c>
      <c r="T250" s="350">
        <f t="shared" si="316"/>
        <v>0</v>
      </c>
      <c r="U250" s="350">
        <f t="shared" si="317"/>
        <v>10888</v>
      </c>
      <c r="V250" s="350">
        <f t="shared" si="318"/>
        <v>6031.091654454518</v>
      </c>
      <c r="W250" s="352">
        <v>1</v>
      </c>
      <c r="X250" s="350">
        <f t="shared" si="319"/>
        <v>6031.091654454518</v>
      </c>
      <c r="Y250" s="350">
        <f t="shared" si="320"/>
        <v>6031.091654454518</v>
      </c>
      <c r="Z250" s="350">
        <f t="shared" si="266"/>
        <v>0</v>
      </c>
      <c r="AA250" s="350">
        <f t="shared" si="321"/>
        <v>98</v>
      </c>
      <c r="AB250" s="350">
        <f t="shared" si="300"/>
        <v>124</v>
      </c>
      <c r="AC250" s="350">
        <f t="shared" si="322"/>
        <v>113</v>
      </c>
      <c r="AD250" s="350">
        <f t="shared" si="301"/>
        <v>123</v>
      </c>
      <c r="AE250" s="350">
        <f t="shared" si="323"/>
        <v>-8.3333333333333329E-2</v>
      </c>
      <c r="AF250" s="350">
        <f t="shared" si="324"/>
        <v>4856.908345545482</v>
      </c>
      <c r="AG250" s="350"/>
      <c r="AH250" s="350"/>
      <c r="AI250" s="350"/>
    </row>
    <row r="251" spans="2:35">
      <c r="B251" s="837" t="s">
        <v>1217</v>
      </c>
      <c r="C251" s="289">
        <v>1999</v>
      </c>
      <c r="D251" s="289">
        <f t="shared" si="296"/>
        <v>99</v>
      </c>
      <c r="E251" s="289">
        <v>1</v>
      </c>
      <c r="F251" s="351">
        <v>0</v>
      </c>
      <c r="G251" s="344" t="s">
        <v>169</v>
      </c>
      <c r="H251" s="289">
        <v>15</v>
      </c>
      <c r="I251" s="289">
        <f t="shared" si="297"/>
        <v>114</v>
      </c>
      <c r="L251" s="838">
        <v>13578</v>
      </c>
      <c r="M251" s="350"/>
      <c r="N251" s="350">
        <f t="shared" si="311"/>
        <v>13578</v>
      </c>
      <c r="O251" s="350">
        <f t="shared" si="312"/>
        <v>75.433333333333337</v>
      </c>
      <c r="P251" s="350">
        <f t="shared" si="313"/>
        <v>0</v>
      </c>
      <c r="Q251" s="350">
        <f t="shared" si="314"/>
        <v>0</v>
      </c>
      <c r="R251" s="350">
        <f t="shared" si="315"/>
        <v>0</v>
      </c>
      <c r="S251" s="352">
        <f>+'WP-11 - Non-Regulated'!$K$40</f>
        <v>0.5539209822239638</v>
      </c>
      <c r="T251" s="350">
        <f t="shared" si="316"/>
        <v>0</v>
      </c>
      <c r="U251" s="350">
        <f t="shared" si="317"/>
        <v>13578</v>
      </c>
      <c r="V251" s="350">
        <f t="shared" si="318"/>
        <v>7521.1390966369809</v>
      </c>
      <c r="W251" s="352">
        <v>1</v>
      </c>
      <c r="X251" s="350">
        <f t="shared" si="319"/>
        <v>7521.1390966369809</v>
      </c>
      <c r="Y251" s="350">
        <f t="shared" si="320"/>
        <v>7521.1390966369809</v>
      </c>
      <c r="Z251" s="350">
        <f t="shared" si="266"/>
        <v>0</v>
      </c>
      <c r="AA251" s="350">
        <f t="shared" si="321"/>
        <v>99</v>
      </c>
      <c r="AB251" s="350">
        <f t="shared" si="300"/>
        <v>124</v>
      </c>
      <c r="AC251" s="350">
        <f t="shared" si="322"/>
        <v>114</v>
      </c>
      <c r="AD251" s="350">
        <f t="shared" si="301"/>
        <v>123</v>
      </c>
      <c r="AE251" s="350">
        <f t="shared" si="323"/>
        <v>-8.3333333333333329E-2</v>
      </c>
      <c r="AF251" s="350">
        <f t="shared" si="324"/>
        <v>6056.8609033630191</v>
      </c>
      <c r="AG251" s="350"/>
      <c r="AH251" s="350"/>
      <c r="AI251" s="350"/>
    </row>
    <row r="252" spans="2:35">
      <c r="B252" s="837" t="s">
        <v>1221</v>
      </c>
      <c r="C252" s="289">
        <v>2004</v>
      </c>
      <c r="D252" s="289">
        <f t="shared" si="296"/>
        <v>104</v>
      </c>
      <c r="E252" s="289">
        <v>1</v>
      </c>
      <c r="F252" s="351">
        <v>0</v>
      </c>
      <c r="G252" s="344" t="s">
        <v>169</v>
      </c>
      <c r="H252" s="289">
        <v>15</v>
      </c>
      <c r="I252" s="289">
        <f t="shared" si="297"/>
        <v>119</v>
      </c>
      <c r="L252" s="838">
        <v>170875</v>
      </c>
      <c r="M252" s="350"/>
      <c r="N252" s="350">
        <f t="shared" si="311"/>
        <v>170875</v>
      </c>
      <c r="O252" s="350">
        <f t="shared" si="312"/>
        <v>949.30555555555554</v>
      </c>
      <c r="P252" s="350">
        <f t="shared" si="313"/>
        <v>0</v>
      </c>
      <c r="Q252" s="350">
        <f t="shared" si="314"/>
        <v>0</v>
      </c>
      <c r="R252" s="350">
        <f t="shared" si="315"/>
        <v>0</v>
      </c>
      <c r="S252" s="352">
        <f>+'WP-11 - Non-Regulated'!$K$40</f>
        <v>0.5539209822239638</v>
      </c>
      <c r="T252" s="350">
        <f t="shared" si="316"/>
        <v>0</v>
      </c>
      <c r="U252" s="350">
        <f t="shared" si="317"/>
        <v>170875</v>
      </c>
      <c r="V252" s="350">
        <f t="shared" si="318"/>
        <v>94651.247837519812</v>
      </c>
      <c r="W252" s="352">
        <v>1</v>
      </c>
      <c r="X252" s="350">
        <f t="shared" si="319"/>
        <v>94651.247837519812</v>
      </c>
      <c r="Y252" s="350">
        <f t="shared" si="320"/>
        <v>94651.247837519812</v>
      </c>
      <c r="Z252" s="350">
        <f t="shared" si="266"/>
        <v>0</v>
      </c>
      <c r="AA252" s="350">
        <f t="shared" si="321"/>
        <v>104</v>
      </c>
      <c r="AB252" s="350">
        <f t="shared" si="300"/>
        <v>124</v>
      </c>
      <c r="AC252" s="350">
        <f t="shared" si="322"/>
        <v>119</v>
      </c>
      <c r="AD252" s="350">
        <f t="shared" si="301"/>
        <v>123</v>
      </c>
      <c r="AE252" s="350">
        <f t="shared" si="323"/>
        <v>-8.3333333333333329E-2</v>
      </c>
      <c r="AF252" s="350">
        <f t="shared" si="324"/>
        <v>76223.752162480188</v>
      </c>
      <c r="AG252" s="350"/>
      <c r="AH252" s="350"/>
      <c r="AI252" s="350"/>
    </row>
    <row r="253" spans="2:35">
      <c r="B253" s="837" t="s">
        <v>1222</v>
      </c>
      <c r="C253" s="289">
        <v>2004</v>
      </c>
      <c r="D253" s="289">
        <f t="shared" si="296"/>
        <v>104</v>
      </c>
      <c r="E253" s="289">
        <v>1</v>
      </c>
      <c r="F253" s="351">
        <v>0</v>
      </c>
      <c r="G253" s="344" t="s">
        <v>169</v>
      </c>
      <c r="H253" s="289">
        <v>15</v>
      </c>
      <c r="I253" s="289">
        <f t="shared" si="297"/>
        <v>119</v>
      </c>
      <c r="L253" s="838">
        <v>47500</v>
      </c>
      <c r="M253" s="350"/>
      <c r="N253" s="350">
        <f t="shared" si="311"/>
        <v>47500</v>
      </c>
      <c r="O253" s="350">
        <f t="shared" si="312"/>
        <v>263.88888888888886</v>
      </c>
      <c r="P253" s="350">
        <f t="shared" si="313"/>
        <v>0</v>
      </c>
      <c r="Q253" s="350">
        <f t="shared" si="314"/>
        <v>0</v>
      </c>
      <c r="R253" s="350">
        <f t="shared" si="315"/>
        <v>0</v>
      </c>
      <c r="S253" s="352">
        <f>+'WP-11 - Non-Regulated'!$K$40</f>
        <v>0.5539209822239638</v>
      </c>
      <c r="T253" s="350">
        <f t="shared" si="316"/>
        <v>0</v>
      </c>
      <c r="U253" s="350">
        <f t="shared" si="317"/>
        <v>47500</v>
      </c>
      <c r="V253" s="350">
        <f t="shared" si="318"/>
        <v>26311.246655638279</v>
      </c>
      <c r="W253" s="352">
        <v>1</v>
      </c>
      <c r="X253" s="350">
        <f t="shared" si="319"/>
        <v>26311.246655638279</v>
      </c>
      <c r="Y253" s="350">
        <f t="shared" si="320"/>
        <v>26311.246655638279</v>
      </c>
      <c r="Z253" s="350">
        <f t="shared" si="266"/>
        <v>0</v>
      </c>
      <c r="AA253" s="350">
        <f t="shared" si="321"/>
        <v>104</v>
      </c>
      <c r="AB253" s="350">
        <f t="shared" si="300"/>
        <v>124</v>
      </c>
      <c r="AC253" s="350">
        <f t="shared" si="322"/>
        <v>119</v>
      </c>
      <c r="AD253" s="350">
        <f t="shared" si="301"/>
        <v>123</v>
      </c>
      <c r="AE253" s="350">
        <f t="shared" si="323"/>
        <v>-8.3333333333333329E-2</v>
      </c>
      <c r="AF253" s="350">
        <f t="shared" si="324"/>
        <v>21188.753344361721</v>
      </c>
      <c r="AG253" s="350"/>
      <c r="AH253" s="350"/>
      <c r="AI253" s="350"/>
    </row>
    <row r="254" spans="2:35">
      <c r="B254" s="817"/>
      <c r="F254" s="351"/>
      <c r="G254" s="344"/>
      <c r="L254" s="820"/>
      <c r="M254" s="350"/>
      <c r="N254" s="354"/>
      <c r="O254" s="354"/>
      <c r="P254" s="354"/>
      <c r="Q254" s="354"/>
      <c r="R254" s="354"/>
      <c r="S254" s="352"/>
      <c r="T254" s="354"/>
      <c r="U254" s="354"/>
      <c r="V254" s="354"/>
      <c r="W254" s="352"/>
      <c r="X254" s="354"/>
      <c r="Y254" s="354"/>
      <c r="Z254" s="354"/>
      <c r="AA254" s="350"/>
      <c r="AB254" s="350"/>
      <c r="AC254" s="350"/>
      <c r="AD254" s="350"/>
      <c r="AE254" s="350"/>
      <c r="AF254" s="354"/>
      <c r="AG254" s="350"/>
      <c r="AH254" s="350"/>
      <c r="AI254" s="350"/>
    </row>
    <row r="255" spans="2:35">
      <c r="B255" s="355" t="s">
        <v>170</v>
      </c>
      <c r="F255" s="351"/>
      <c r="G255" s="344"/>
      <c r="L255" s="350">
        <f>SUM(L220:L253)</f>
        <v>1602086.74</v>
      </c>
      <c r="M255" s="350"/>
      <c r="N255" s="350">
        <f>SUM(N220:N253)</f>
        <v>1602086.74</v>
      </c>
      <c r="O255" s="350">
        <f>SUM(O220:O253)</f>
        <v>6172.8767070778704</v>
      </c>
      <c r="P255" s="350">
        <f>SUM(P220:P253)</f>
        <v>54789.387151601099</v>
      </c>
      <c r="Q255" s="350">
        <f>SUM(Q220:Q253)</f>
        <v>0</v>
      </c>
      <c r="R255" s="350">
        <f>SUM(R220:R253)</f>
        <v>54789.387151601099</v>
      </c>
      <c r="S255" s="350"/>
      <c r="T255" s="350">
        <f>SUM(T220:T253)</f>
        <v>30348.991146463897</v>
      </c>
      <c r="U255" s="350">
        <f>SUM(U220:U253)</f>
        <v>1166852.7044580723</v>
      </c>
      <c r="V255" s="350">
        <f>SUM(V220:V253)</f>
        <v>646344.19616410404</v>
      </c>
      <c r="W255" s="350"/>
      <c r="X255" s="350">
        <f>SUM(X220:X253)</f>
        <v>646344.19616410404</v>
      </c>
      <c r="Y255" s="350">
        <f>SUM(Y220:Y253)</f>
        <v>676693.18731056794</v>
      </c>
      <c r="Z255" s="350">
        <f>SUM(Z220:Z253)</f>
        <v>210736.27331822022</v>
      </c>
      <c r="AA255" s="350"/>
      <c r="AB255" s="350"/>
      <c r="AC255" s="350"/>
      <c r="AD255" s="350"/>
      <c r="AE255" s="350"/>
      <c r="AF255" s="350">
        <f>SUM(AF220:AF253)</f>
        <v>729831.77494444372</v>
      </c>
    </row>
    <row r="256" spans="2:35">
      <c r="F256" s="351"/>
      <c r="G256" s="344"/>
      <c r="L256" s="350"/>
      <c r="M256" s="350"/>
      <c r="N256" s="350"/>
      <c r="O256" s="350"/>
      <c r="P256" s="350"/>
      <c r="Q256" s="350"/>
      <c r="R256" s="350"/>
      <c r="S256" s="352"/>
      <c r="T256" s="350"/>
      <c r="U256" s="350"/>
      <c r="V256" s="350"/>
      <c r="W256" s="352"/>
      <c r="X256" s="350"/>
      <c r="Y256" s="350"/>
      <c r="Z256" s="350"/>
      <c r="AA256" s="350"/>
      <c r="AB256" s="350"/>
      <c r="AC256" s="350"/>
      <c r="AD256" s="350"/>
      <c r="AE256" s="350"/>
      <c r="AF256" s="350"/>
    </row>
    <row r="257" spans="1:37" ht="16.5" thickBot="1">
      <c r="B257" s="291" t="s">
        <v>1223</v>
      </c>
      <c r="K257" s="356" t="s">
        <v>204</v>
      </c>
      <c r="L257" s="357">
        <f>SUM(L255:L256)</f>
        <v>1602086.74</v>
      </c>
      <c r="M257" s="350"/>
      <c r="N257" s="357">
        <f>SUM(N255:N256)</f>
        <v>1602086.74</v>
      </c>
      <c r="O257" s="357">
        <f>SUM(O255:O256)</f>
        <v>6172.8767070778704</v>
      </c>
      <c r="P257" s="357">
        <f>SUM(P255:P256)</f>
        <v>54789.387151601099</v>
      </c>
      <c r="Q257" s="357">
        <f>SUM(Q255:Q256)</f>
        <v>0</v>
      </c>
      <c r="R257" s="357">
        <f>SUM(R255:R256)</f>
        <v>54789.387151601099</v>
      </c>
      <c r="S257" s="358"/>
      <c r="T257" s="357">
        <f>SUM(T255:T256)</f>
        <v>30348.991146463897</v>
      </c>
      <c r="U257" s="357">
        <f>SUM(U255:U256)</f>
        <v>1166852.7044580723</v>
      </c>
      <c r="V257" s="357">
        <f>SUM(V255:V256)</f>
        <v>646344.19616410404</v>
      </c>
      <c r="W257" s="358"/>
      <c r="X257" s="357">
        <f>SUM(X255:X256)</f>
        <v>646344.19616410404</v>
      </c>
      <c r="Y257" s="357">
        <f>SUM(Y255:Y256)</f>
        <v>676693.18731056794</v>
      </c>
      <c r="Z257" s="357">
        <f>SUM(Z255:Z256)</f>
        <v>210736.27331822022</v>
      </c>
      <c r="AA257" s="350"/>
      <c r="AB257" s="350"/>
      <c r="AC257" s="350"/>
      <c r="AD257" s="350"/>
      <c r="AE257" s="350"/>
      <c r="AF257" s="655">
        <f>SUM(AF255:AF256)</f>
        <v>729831.77494444372</v>
      </c>
      <c r="AG257" s="358"/>
      <c r="AH257" s="358"/>
      <c r="AI257" s="358"/>
      <c r="AJ257" s="358"/>
      <c r="AK257" s="358"/>
    </row>
    <row r="258" spans="1:37" ht="16.5" thickTop="1">
      <c r="B258" s="830"/>
      <c r="F258" s="351"/>
      <c r="G258" s="344"/>
      <c r="L258" s="832"/>
      <c r="M258" s="350"/>
      <c r="N258" s="359"/>
      <c r="O258" s="359"/>
      <c r="P258" s="359"/>
      <c r="Q258" s="350"/>
      <c r="R258" s="359"/>
      <c r="S258" s="352"/>
      <c r="T258" s="350"/>
      <c r="U258" s="359"/>
      <c r="V258" s="359"/>
      <c r="W258" s="352"/>
      <c r="X258" s="359"/>
      <c r="Y258" s="359"/>
      <c r="Z258" s="350"/>
      <c r="AA258" s="350"/>
      <c r="AB258" s="350"/>
      <c r="AC258" s="350"/>
      <c r="AD258" s="350"/>
      <c r="AE258" s="350"/>
      <c r="AF258" s="350"/>
      <c r="AG258" s="350"/>
      <c r="AH258" s="350"/>
      <c r="AI258" s="350"/>
    </row>
    <row r="259" spans="1:37">
      <c r="B259" s="291" t="s">
        <v>1224</v>
      </c>
      <c r="F259" s="351"/>
      <c r="G259" s="344"/>
      <c r="L259" s="832"/>
      <c r="M259" s="350"/>
      <c r="N259" s="359"/>
      <c r="O259" s="359"/>
      <c r="P259" s="359"/>
      <c r="Q259" s="350"/>
      <c r="R259" s="359"/>
      <c r="S259" s="352"/>
      <c r="T259" s="350"/>
      <c r="U259" s="359"/>
      <c r="V259" s="359"/>
      <c r="W259" s="352"/>
      <c r="X259" s="359"/>
      <c r="Y259" s="359"/>
      <c r="Z259" s="350"/>
      <c r="AA259" s="350"/>
      <c r="AB259" s="350"/>
      <c r="AC259" s="350"/>
      <c r="AD259" s="350"/>
      <c r="AE259" s="350"/>
      <c r="AF259" s="350"/>
      <c r="AG259" s="350"/>
      <c r="AH259" s="350"/>
      <c r="AI259" s="350"/>
    </row>
    <row r="260" spans="1:37">
      <c r="B260" s="353" t="s">
        <v>660</v>
      </c>
      <c r="C260" s="289">
        <v>2007</v>
      </c>
      <c r="D260" s="289">
        <f t="shared" ref="D260:D307" si="325">+C260-1900</f>
        <v>107</v>
      </c>
      <c r="E260" s="289">
        <v>3</v>
      </c>
      <c r="F260" s="351">
        <v>0</v>
      </c>
      <c r="G260" s="344" t="s">
        <v>169</v>
      </c>
      <c r="H260" s="289">
        <v>7</v>
      </c>
      <c r="I260" s="289">
        <f t="shared" ref="I260:I307" si="326">D260+H260</f>
        <v>114</v>
      </c>
      <c r="L260" s="576">
        <v>52335</v>
      </c>
      <c r="M260" s="350">
        <v>0</v>
      </c>
      <c r="N260" s="359">
        <f t="shared" ref="N260:N307" si="327">L260-(+L260*F260)</f>
        <v>52335</v>
      </c>
      <c r="O260" s="359">
        <f t="shared" ref="O260:O307" si="328">N260/H260/12</f>
        <v>623.03571428571433</v>
      </c>
      <c r="P260" s="359">
        <f t="shared" ref="P260:P307" si="329">IF(Q260&gt;0,0,IF(OR(AA260&gt;AB260,AC260&lt;AD260),0,IF(AND(AC260&gt;=AD260,AC260&lt;=AB260),O260*((AC260-AD260)*12),IF(AND(AD260&lt;=AA260,AB260&gt;=AA260),((AB260-AA260)*12)*O260,IF(AC260&gt;AB260,12*O260,0)))))</f>
        <v>0</v>
      </c>
      <c r="Q260" s="350">
        <f t="shared" ref="Q260:Q307" si="330">IF(M260=0,0,IF(AND(AE260&gt;=AD260,AE260&lt;=AC260),((AE260-AD260)*12)*O260,0))</f>
        <v>0</v>
      </c>
      <c r="R260" s="359">
        <f t="shared" ref="R260:R307" si="331">IF(Q260&gt;0,Q260,P260)</f>
        <v>0</v>
      </c>
      <c r="S260" s="352">
        <v>0</v>
      </c>
      <c r="T260" s="350">
        <f t="shared" ref="T260:T307" si="332">S260*SUM(P260:Q260)</f>
        <v>0</v>
      </c>
      <c r="U260" s="359">
        <f t="shared" ref="U260:U307" si="333">IF(AA260&gt;AB260,0,IF(AC260&lt;AD260,N260,IF(AND(AC260&gt;=AD260,AC260&lt;=AB260),(N260-R260),IF(AND(AD260&lt;=AA260,AB260&gt;=AA260),0,IF(AC260&gt;AB260,((AD260-AA260)*12)*O260,0)))))</f>
        <v>52335</v>
      </c>
      <c r="V260" s="359">
        <f t="shared" ref="V260:V307" si="334">U260*S260</f>
        <v>0</v>
      </c>
      <c r="W260" s="352">
        <v>1</v>
      </c>
      <c r="X260" s="359">
        <f t="shared" ref="X260:X286" si="335">V260*W260</f>
        <v>0</v>
      </c>
      <c r="Y260" s="359">
        <f t="shared" ref="Y260:Y286" si="336">IF(M260&gt;0,0,X260+T260*W260)*W260</f>
        <v>0</v>
      </c>
      <c r="Z260" s="350">
        <f t="shared" ref="Z260:Z323" si="337">IF((N260-((AB260-AA260)*12*O260))&lt;0,0,IF(AE260&gt;0,0,(N260-((AB260-AA260)*12*(O260))))*S260)</f>
        <v>0</v>
      </c>
      <c r="AA260" s="350">
        <f t="shared" ref="AA260:AA291" si="338">$D260+(($E260-1)/12)</f>
        <v>107.16666666666667</v>
      </c>
      <c r="AB260" s="350">
        <f t="shared" si="145"/>
        <v>124</v>
      </c>
      <c r="AC260" s="350">
        <f t="shared" ref="AC260:AC291" si="339">$I260+(($E260-1)/12)</f>
        <v>114.16666666666667</v>
      </c>
      <c r="AD260" s="350">
        <f t="shared" si="146"/>
        <v>123</v>
      </c>
      <c r="AE260" s="350">
        <f t="shared" ref="AE260:AE291" si="340">$J260+(($K260-1)/12)</f>
        <v>-8.3333333333333329E-2</v>
      </c>
      <c r="AF260" s="350">
        <f t="shared" ref="AF260:AF307" si="341">L260-((X260+Y260)/2)-Z260</f>
        <v>52335</v>
      </c>
      <c r="AG260" s="350"/>
      <c r="AH260" s="350"/>
      <c r="AI260" s="350"/>
    </row>
    <row r="261" spans="1:37">
      <c r="A261" s="848"/>
      <c r="B261" s="289" t="s">
        <v>643</v>
      </c>
      <c r="C261" s="289">
        <v>2007</v>
      </c>
      <c r="D261" s="289">
        <f t="shared" si="325"/>
        <v>107</v>
      </c>
      <c r="E261" s="289">
        <v>5</v>
      </c>
      <c r="F261" s="351">
        <v>0</v>
      </c>
      <c r="G261" s="344" t="s">
        <v>169</v>
      </c>
      <c r="H261" s="289">
        <v>7</v>
      </c>
      <c r="I261" s="289">
        <f t="shared" si="326"/>
        <v>114</v>
      </c>
      <c r="L261" s="350">
        <v>146906</v>
      </c>
      <c r="M261" s="350">
        <v>0</v>
      </c>
      <c r="N261" s="350">
        <f t="shared" si="327"/>
        <v>146906</v>
      </c>
      <c r="O261" s="350">
        <f t="shared" si="328"/>
        <v>1748.8809523809523</v>
      </c>
      <c r="P261" s="350">
        <f t="shared" si="329"/>
        <v>0</v>
      </c>
      <c r="Q261" s="350">
        <f t="shared" si="330"/>
        <v>0</v>
      </c>
      <c r="R261" s="350">
        <f t="shared" si="331"/>
        <v>0</v>
      </c>
      <c r="S261" s="352">
        <f>+'WP-11 - Non-Regulated'!$K$40</f>
        <v>0.5539209822239638</v>
      </c>
      <c r="T261" s="350">
        <f t="shared" si="332"/>
        <v>0</v>
      </c>
      <c r="U261" s="350">
        <f t="shared" si="333"/>
        <v>146906</v>
      </c>
      <c r="V261" s="350">
        <f t="shared" si="334"/>
        <v>81374.315814593632</v>
      </c>
      <c r="W261" s="352">
        <v>1</v>
      </c>
      <c r="X261" s="350">
        <f t="shared" si="335"/>
        <v>81374.315814593632</v>
      </c>
      <c r="Y261" s="350">
        <f t="shared" si="336"/>
        <v>81374.315814593632</v>
      </c>
      <c r="Z261" s="350">
        <f t="shared" si="337"/>
        <v>0</v>
      </c>
      <c r="AA261" s="350">
        <f t="shared" si="338"/>
        <v>107.33333333333333</v>
      </c>
      <c r="AB261" s="350">
        <f t="shared" si="19"/>
        <v>124</v>
      </c>
      <c r="AC261" s="350">
        <f t="shared" si="339"/>
        <v>114.33333333333333</v>
      </c>
      <c r="AD261" s="350">
        <f t="shared" si="20"/>
        <v>123</v>
      </c>
      <c r="AE261" s="350">
        <f t="shared" si="340"/>
        <v>-8.3333333333333329E-2</v>
      </c>
      <c r="AF261" s="350">
        <f t="shared" si="341"/>
        <v>65531.684185406368</v>
      </c>
    </row>
    <row r="262" spans="1:37">
      <c r="A262" s="848"/>
      <c r="B262" s="289" t="s">
        <v>642</v>
      </c>
      <c r="C262" s="289">
        <v>2008</v>
      </c>
      <c r="D262" s="289">
        <f t="shared" si="325"/>
        <v>108</v>
      </c>
      <c r="E262" s="289">
        <v>1</v>
      </c>
      <c r="F262" s="351">
        <v>0</v>
      </c>
      <c r="G262" s="344" t="s">
        <v>169</v>
      </c>
      <c r="H262" s="289">
        <v>7</v>
      </c>
      <c r="I262" s="289">
        <f t="shared" si="326"/>
        <v>115</v>
      </c>
      <c r="L262" s="350">
        <v>150005</v>
      </c>
      <c r="M262" s="350">
        <v>0</v>
      </c>
      <c r="N262" s="350">
        <f t="shared" si="327"/>
        <v>150005</v>
      </c>
      <c r="O262" s="350">
        <f t="shared" si="328"/>
        <v>1785.7738095238094</v>
      </c>
      <c r="P262" s="350">
        <f t="shared" si="329"/>
        <v>0</v>
      </c>
      <c r="Q262" s="350">
        <f t="shared" si="330"/>
        <v>0</v>
      </c>
      <c r="R262" s="350">
        <f t="shared" si="331"/>
        <v>0</v>
      </c>
      <c r="S262" s="352">
        <f>+'WP-11 - Non-Regulated'!$K$40</f>
        <v>0.5539209822239638</v>
      </c>
      <c r="T262" s="350">
        <f t="shared" si="332"/>
        <v>0</v>
      </c>
      <c r="U262" s="350">
        <f t="shared" si="333"/>
        <v>150005</v>
      </c>
      <c r="V262" s="350">
        <f t="shared" si="334"/>
        <v>83090.916938505688</v>
      </c>
      <c r="W262" s="352">
        <v>1</v>
      </c>
      <c r="X262" s="350">
        <f t="shared" si="335"/>
        <v>83090.916938505688</v>
      </c>
      <c r="Y262" s="350">
        <f t="shared" si="336"/>
        <v>83090.916938505688</v>
      </c>
      <c r="Z262" s="350">
        <f t="shared" si="337"/>
        <v>0</v>
      </c>
      <c r="AA262" s="350">
        <f t="shared" si="338"/>
        <v>108</v>
      </c>
      <c r="AB262" s="350">
        <f t="shared" si="19"/>
        <v>124</v>
      </c>
      <c r="AC262" s="350">
        <f t="shared" si="339"/>
        <v>115</v>
      </c>
      <c r="AD262" s="350">
        <f t="shared" si="20"/>
        <v>123</v>
      </c>
      <c r="AE262" s="350">
        <f t="shared" si="340"/>
        <v>-8.3333333333333329E-2</v>
      </c>
      <c r="AF262" s="350">
        <f t="shared" si="341"/>
        <v>66914.083061494312</v>
      </c>
    </row>
    <row r="263" spans="1:37">
      <c r="A263" s="848"/>
      <c r="B263" s="289" t="s">
        <v>640</v>
      </c>
      <c r="C263" s="289">
        <v>2008</v>
      </c>
      <c r="D263" s="289">
        <f t="shared" si="325"/>
        <v>108</v>
      </c>
      <c r="E263" s="289">
        <v>2</v>
      </c>
      <c r="F263" s="351">
        <v>0</v>
      </c>
      <c r="G263" s="344" t="s">
        <v>169</v>
      </c>
      <c r="H263" s="289">
        <v>7</v>
      </c>
      <c r="I263" s="289">
        <f t="shared" si="326"/>
        <v>115</v>
      </c>
      <c r="L263" s="350">
        <v>160347</v>
      </c>
      <c r="M263" s="350">
        <v>0</v>
      </c>
      <c r="N263" s="350">
        <f t="shared" si="327"/>
        <v>160347</v>
      </c>
      <c r="O263" s="350">
        <f t="shared" si="328"/>
        <v>1908.8928571428571</v>
      </c>
      <c r="P263" s="350">
        <f t="shared" si="329"/>
        <v>0</v>
      </c>
      <c r="Q263" s="350">
        <f t="shared" si="330"/>
        <v>0</v>
      </c>
      <c r="R263" s="350">
        <f t="shared" si="331"/>
        <v>0</v>
      </c>
      <c r="S263" s="352">
        <f>+'WP-11 - Non-Regulated'!$K$40</f>
        <v>0.5539209822239638</v>
      </c>
      <c r="T263" s="350">
        <f t="shared" si="332"/>
        <v>0</v>
      </c>
      <c r="U263" s="350">
        <f t="shared" si="333"/>
        <v>160347</v>
      </c>
      <c r="V263" s="350">
        <f t="shared" si="334"/>
        <v>88819.567736665922</v>
      </c>
      <c r="W263" s="352">
        <v>1</v>
      </c>
      <c r="X263" s="350">
        <f t="shared" si="335"/>
        <v>88819.567736665922</v>
      </c>
      <c r="Y263" s="350">
        <f t="shared" si="336"/>
        <v>88819.567736665922</v>
      </c>
      <c r="Z263" s="350">
        <f t="shared" si="337"/>
        <v>0</v>
      </c>
      <c r="AA263" s="350">
        <f t="shared" si="338"/>
        <v>108.08333333333333</v>
      </c>
      <c r="AB263" s="350">
        <f t="shared" si="19"/>
        <v>124</v>
      </c>
      <c r="AC263" s="350">
        <f t="shared" si="339"/>
        <v>115.08333333333333</v>
      </c>
      <c r="AD263" s="350">
        <f t="shared" si="20"/>
        <v>123</v>
      </c>
      <c r="AE263" s="350">
        <f t="shared" si="340"/>
        <v>-8.3333333333333329E-2</v>
      </c>
      <c r="AF263" s="350">
        <f t="shared" si="341"/>
        <v>71527.432263334078</v>
      </c>
    </row>
    <row r="264" spans="1:37">
      <c r="A264" s="848"/>
      <c r="B264" s="289" t="s">
        <v>638</v>
      </c>
      <c r="C264" s="289">
        <v>2008</v>
      </c>
      <c r="D264" s="289">
        <f t="shared" si="325"/>
        <v>108</v>
      </c>
      <c r="E264" s="289">
        <v>8</v>
      </c>
      <c r="F264" s="351">
        <v>0</v>
      </c>
      <c r="G264" s="344" t="s">
        <v>169</v>
      </c>
      <c r="H264" s="289">
        <v>7</v>
      </c>
      <c r="I264" s="289">
        <f t="shared" si="326"/>
        <v>115</v>
      </c>
      <c r="L264" s="350">
        <v>81811</v>
      </c>
      <c r="M264" s="350">
        <v>0</v>
      </c>
      <c r="N264" s="350">
        <f t="shared" si="327"/>
        <v>81811</v>
      </c>
      <c r="O264" s="350">
        <f t="shared" si="328"/>
        <v>973.94047619047615</v>
      </c>
      <c r="P264" s="350">
        <f t="shared" si="329"/>
        <v>0</v>
      </c>
      <c r="Q264" s="350">
        <f t="shared" si="330"/>
        <v>0</v>
      </c>
      <c r="R264" s="350">
        <f t="shared" si="331"/>
        <v>0</v>
      </c>
      <c r="S264" s="352">
        <f>+'WP-11 - Non-Regulated'!$K$40</f>
        <v>0.5539209822239638</v>
      </c>
      <c r="T264" s="350">
        <f t="shared" si="332"/>
        <v>0</v>
      </c>
      <c r="U264" s="350">
        <f t="shared" si="333"/>
        <v>81811</v>
      </c>
      <c r="V264" s="350">
        <f t="shared" si="334"/>
        <v>45316.829476724699</v>
      </c>
      <c r="W264" s="352">
        <v>1</v>
      </c>
      <c r="X264" s="350">
        <f t="shared" si="335"/>
        <v>45316.829476724699</v>
      </c>
      <c r="Y264" s="350">
        <f t="shared" si="336"/>
        <v>45316.829476724699</v>
      </c>
      <c r="Z264" s="350">
        <f t="shared" si="337"/>
        <v>0</v>
      </c>
      <c r="AA264" s="350">
        <f t="shared" si="338"/>
        <v>108.58333333333333</v>
      </c>
      <c r="AB264" s="350">
        <f t="shared" si="19"/>
        <v>124</v>
      </c>
      <c r="AC264" s="350">
        <f t="shared" si="339"/>
        <v>115.58333333333333</v>
      </c>
      <c r="AD264" s="350">
        <f t="shared" si="20"/>
        <v>123</v>
      </c>
      <c r="AE264" s="350">
        <f t="shared" si="340"/>
        <v>-8.3333333333333329E-2</v>
      </c>
      <c r="AF264" s="350">
        <f t="shared" si="341"/>
        <v>36494.170523275301</v>
      </c>
    </row>
    <row r="265" spans="1:37">
      <c r="A265" s="848"/>
      <c r="B265" s="289" t="s">
        <v>639</v>
      </c>
      <c r="C265" s="289">
        <v>2009</v>
      </c>
      <c r="D265" s="289">
        <f t="shared" si="325"/>
        <v>109</v>
      </c>
      <c r="E265" s="289">
        <v>4</v>
      </c>
      <c r="F265" s="351">
        <v>0</v>
      </c>
      <c r="G265" s="344" t="s">
        <v>169</v>
      </c>
      <c r="H265" s="289">
        <v>7</v>
      </c>
      <c r="I265" s="289">
        <f t="shared" si="326"/>
        <v>116</v>
      </c>
      <c r="L265" s="350">
        <v>241897</v>
      </c>
      <c r="M265" s="350">
        <v>0</v>
      </c>
      <c r="N265" s="350">
        <f t="shared" si="327"/>
        <v>241897</v>
      </c>
      <c r="O265" s="350">
        <f t="shared" si="328"/>
        <v>2879.7261904761904</v>
      </c>
      <c r="P265" s="350">
        <f t="shared" si="329"/>
        <v>0</v>
      </c>
      <c r="Q265" s="350">
        <f t="shared" si="330"/>
        <v>0</v>
      </c>
      <c r="R265" s="350">
        <f t="shared" si="331"/>
        <v>0</v>
      </c>
      <c r="S265" s="352">
        <f>+'WP-11 - Non-Regulated'!$K$40</f>
        <v>0.5539209822239638</v>
      </c>
      <c r="T265" s="350">
        <f t="shared" si="332"/>
        <v>0</v>
      </c>
      <c r="U265" s="350">
        <f t="shared" si="333"/>
        <v>241897</v>
      </c>
      <c r="V265" s="350">
        <f t="shared" si="334"/>
        <v>133991.82383703018</v>
      </c>
      <c r="W265" s="352">
        <v>1</v>
      </c>
      <c r="X265" s="350">
        <f t="shared" si="335"/>
        <v>133991.82383703018</v>
      </c>
      <c r="Y265" s="350">
        <f t="shared" si="336"/>
        <v>133991.82383703018</v>
      </c>
      <c r="Z265" s="350">
        <f t="shared" si="337"/>
        <v>0</v>
      </c>
      <c r="AA265" s="350">
        <f t="shared" si="338"/>
        <v>109.25</v>
      </c>
      <c r="AB265" s="350">
        <f t="shared" si="19"/>
        <v>124</v>
      </c>
      <c r="AC265" s="350">
        <f t="shared" si="339"/>
        <v>116.25</v>
      </c>
      <c r="AD265" s="350">
        <f t="shared" si="20"/>
        <v>123</v>
      </c>
      <c r="AE265" s="350">
        <f t="shared" si="340"/>
        <v>-8.3333333333333329E-2</v>
      </c>
      <c r="AF265" s="350">
        <f t="shared" si="341"/>
        <v>107905.17616296982</v>
      </c>
    </row>
    <row r="266" spans="1:37">
      <c r="A266" s="848"/>
      <c r="B266" s="289" t="s">
        <v>638</v>
      </c>
      <c r="C266" s="289">
        <v>2009</v>
      </c>
      <c r="D266" s="289">
        <f t="shared" si="325"/>
        <v>109</v>
      </c>
      <c r="E266" s="289">
        <v>12</v>
      </c>
      <c r="F266" s="351">
        <v>0</v>
      </c>
      <c r="G266" s="344" t="s">
        <v>169</v>
      </c>
      <c r="H266" s="289">
        <v>7</v>
      </c>
      <c r="I266" s="289">
        <f t="shared" si="326"/>
        <v>116</v>
      </c>
      <c r="L266" s="350">
        <v>101660</v>
      </c>
      <c r="M266" s="350">
        <v>0</v>
      </c>
      <c r="N266" s="350">
        <f t="shared" si="327"/>
        <v>101660</v>
      </c>
      <c r="O266" s="350">
        <f t="shared" si="328"/>
        <v>1210.2380952380952</v>
      </c>
      <c r="P266" s="350">
        <f t="shared" si="329"/>
        <v>0</v>
      </c>
      <c r="Q266" s="350">
        <f t="shared" si="330"/>
        <v>0</v>
      </c>
      <c r="R266" s="350">
        <f t="shared" si="331"/>
        <v>0</v>
      </c>
      <c r="S266" s="352">
        <f>+'WP-11 - Non-Regulated'!$K$40</f>
        <v>0.5539209822239638</v>
      </c>
      <c r="T266" s="350">
        <f t="shared" si="332"/>
        <v>0</v>
      </c>
      <c r="U266" s="350">
        <f t="shared" si="333"/>
        <v>101660</v>
      </c>
      <c r="V266" s="350">
        <f t="shared" si="334"/>
        <v>56311.607052888161</v>
      </c>
      <c r="W266" s="352">
        <v>1</v>
      </c>
      <c r="X266" s="350">
        <f t="shared" si="335"/>
        <v>56311.607052888161</v>
      </c>
      <c r="Y266" s="350">
        <f t="shared" si="336"/>
        <v>56311.607052888161</v>
      </c>
      <c r="Z266" s="350">
        <f t="shared" si="337"/>
        <v>0</v>
      </c>
      <c r="AA266" s="350">
        <f t="shared" si="338"/>
        <v>109.91666666666667</v>
      </c>
      <c r="AB266" s="350">
        <f t="shared" si="19"/>
        <v>124</v>
      </c>
      <c r="AC266" s="350">
        <f t="shared" si="339"/>
        <v>116.91666666666667</v>
      </c>
      <c r="AD266" s="350">
        <f t="shared" si="20"/>
        <v>123</v>
      </c>
      <c r="AE266" s="350">
        <f t="shared" si="340"/>
        <v>-8.3333333333333329E-2</v>
      </c>
      <c r="AF266" s="350">
        <f t="shared" si="341"/>
        <v>45348.392947111839</v>
      </c>
    </row>
    <row r="267" spans="1:37">
      <c r="A267" s="848"/>
      <c r="B267" s="289" t="s">
        <v>635</v>
      </c>
      <c r="C267" s="289">
        <v>2010</v>
      </c>
      <c r="D267" s="289">
        <f t="shared" si="325"/>
        <v>110</v>
      </c>
      <c r="E267" s="289">
        <v>4</v>
      </c>
      <c r="F267" s="351">
        <v>0</v>
      </c>
      <c r="G267" s="344" t="s">
        <v>169</v>
      </c>
      <c r="H267" s="289">
        <v>7</v>
      </c>
      <c r="I267" s="289">
        <f t="shared" si="326"/>
        <v>117</v>
      </c>
      <c r="L267" s="350">
        <v>106900</v>
      </c>
      <c r="M267" s="350">
        <v>0</v>
      </c>
      <c r="N267" s="350">
        <f t="shared" si="327"/>
        <v>106900</v>
      </c>
      <c r="O267" s="350">
        <f t="shared" si="328"/>
        <v>1272.6190476190475</v>
      </c>
      <c r="P267" s="350">
        <f t="shared" si="329"/>
        <v>0</v>
      </c>
      <c r="Q267" s="350">
        <f t="shared" si="330"/>
        <v>0</v>
      </c>
      <c r="R267" s="350">
        <f t="shared" si="331"/>
        <v>0</v>
      </c>
      <c r="S267" s="352">
        <f>+'WP-11 - Non-Regulated'!$K$40</f>
        <v>0.5539209822239638</v>
      </c>
      <c r="T267" s="350">
        <f t="shared" si="332"/>
        <v>0</v>
      </c>
      <c r="U267" s="350">
        <f t="shared" si="333"/>
        <v>106900</v>
      </c>
      <c r="V267" s="350">
        <f t="shared" si="334"/>
        <v>59214.152999741731</v>
      </c>
      <c r="W267" s="352">
        <v>1</v>
      </c>
      <c r="X267" s="350">
        <f t="shared" si="335"/>
        <v>59214.152999741731</v>
      </c>
      <c r="Y267" s="350">
        <f t="shared" si="336"/>
        <v>59214.152999741731</v>
      </c>
      <c r="Z267" s="350">
        <f t="shared" si="337"/>
        <v>0</v>
      </c>
      <c r="AA267" s="350">
        <f t="shared" si="338"/>
        <v>110.25</v>
      </c>
      <c r="AB267" s="350">
        <f t="shared" si="19"/>
        <v>124</v>
      </c>
      <c r="AC267" s="350">
        <f t="shared" si="339"/>
        <v>117.25</v>
      </c>
      <c r="AD267" s="350">
        <f t="shared" si="20"/>
        <v>123</v>
      </c>
      <c r="AE267" s="350">
        <f t="shared" si="340"/>
        <v>-8.3333333333333329E-2</v>
      </c>
      <c r="AF267" s="350">
        <f t="shared" si="341"/>
        <v>47685.847000258269</v>
      </c>
    </row>
    <row r="268" spans="1:37">
      <c r="A268" s="848"/>
      <c r="B268" s="289" t="s">
        <v>635</v>
      </c>
      <c r="C268" s="289">
        <v>2010</v>
      </c>
      <c r="D268" s="289">
        <f t="shared" si="325"/>
        <v>110</v>
      </c>
      <c r="E268" s="289">
        <v>9</v>
      </c>
      <c r="F268" s="351">
        <v>0</v>
      </c>
      <c r="G268" s="344" t="s">
        <v>169</v>
      </c>
      <c r="H268" s="289">
        <v>7</v>
      </c>
      <c r="I268" s="289">
        <f t="shared" si="326"/>
        <v>117</v>
      </c>
      <c r="L268" s="350">
        <v>187309</v>
      </c>
      <c r="M268" s="350">
        <v>0</v>
      </c>
      <c r="N268" s="350">
        <f t="shared" si="327"/>
        <v>187309</v>
      </c>
      <c r="O268" s="350">
        <f t="shared" si="328"/>
        <v>2229.8690476190477</v>
      </c>
      <c r="P268" s="350">
        <f t="shared" si="329"/>
        <v>0</v>
      </c>
      <c r="Q268" s="350">
        <f t="shared" si="330"/>
        <v>0</v>
      </c>
      <c r="R268" s="350">
        <f t="shared" si="331"/>
        <v>0</v>
      </c>
      <c r="S268" s="352">
        <f>+'WP-11 - Non-Regulated'!$K$40</f>
        <v>0.5539209822239638</v>
      </c>
      <c r="T268" s="350">
        <f t="shared" si="332"/>
        <v>0</v>
      </c>
      <c r="U268" s="350">
        <f t="shared" si="333"/>
        <v>187309</v>
      </c>
      <c r="V268" s="350">
        <f t="shared" si="334"/>
        <v>103754.38525938844</v>
      </c>
      <c r="W268" s="352">
        <v>1</v>
      </c>
      <c r="X268" s="350">
        <f t="shared" si="335"/>
        <v>103754.38525938844</v>
      </c>
      <c r="Y268" s="350">
        <f t="shared" si="336"/>
        <v>103754.38525938844</v>
      </c>
      <c r="Z268" s="350">
        <f t="shared" si="337"/>
        <v>0</v>
      </c>
      <c r="AA268" s="350">
        <f t="shared" si="338"/>
        <v>110.66666666666667</v>
      </c>
      <c r="AB268" s="350">
        <f t="shared" si="19"/>
        <v>124</v>
      </c>
      <c r="AC268" s="350">
        <f t="shared" si="339"/>
        <v>117.66666666666667</v>
      </c>
      <c r="AD268" s="350">
        <f t="shared" si="20"/>
        <v>123</v>
      </c>
      <c r="AE268" s="350">
        <f t="shared" si="340"/>
        <v>-8.3333333333333329E-2</v>
      </c>
      <c r="AF268" s="350">
        <f t="shared" si="341"/>
        <v>83554.614740611563</v>
      </c>
    </row>
    <row r="269" spans="1:37">
      <c r="A269" s="848"/>
      <c r="B269" s="289" t="s">
        <v>635</v>
      </c>
      <c r="C269" s="289">
        <v>2010</v>
      </c>
      <c r="D269" s="289">
        <f t="shared" si="325"/>
        <v>110</v>
      </c>
      <c r="E269" s="289">
        <v>12</v>
      </c>
      <c r="F269" s="351">
        <v>0</v>
      </c>
      <c r="G269" s="344" t="s">
        <v>169</v>
      </c>
      <c r="H269" s="289">
        <v>7</v>
      </c>
      <c r="I269" s="289">
        <f t="shared" si="326"/>
        <v>117</v>
      </c>
      <c r="L269" s="350">
        <v>210700</v>
      </c>
      <c r="M269" s="350">
        <v>0</v>
      </c>
      <c r="N269" s="350">
        <f t="shared" si="327"/>
        <v>210700</v>
      </c>
      <c r="O269" s="350">
        <f t="shared" si="328"/>
        <v>2508.3333333333335</v>
      </c>
      <c r="P269" s="350">
        <f t="shared" si="329"/>
        <v>0</v>
      </c>
      <c r="Q269" s="350">
        <f t="shared" si="330"/>
        <v>0</v>
      </c>
      <c r="R269" s="350">
        <f t="shared" si="331"/>
        <v>0</v>
      </c>
      <c r="S269" s="352">
        <f>+'WP-11 - Non-Regulated'!$K$40</f>
        <v>0.5539209822239638</v>
      </c>
      <c r="T269" s="350">
        <f t="shared" si="332"/>
        <v>0</v>
      </c>
      <c r="U269" s="350">
        <f t="shared" si="333"/>
        <v>210700</v>
      </c>
      <c r="V269" s="350">
        <f t="shared" si="334"/>
        <v>116711.15095458917</v>
      </c>
      <c r="W269" s="352">
        <v>1</v>
      </c>
      <c r="X269" s="350">
        <f t="shared" si="335"/>
        <v>116711.15095458917</v>
      </c>
      <c r="Y269" s="350">
        <f t="shared" si="336"/>
        <v>116711.15095458917</v>
      </c>
      <c r="Z269" s="350">
        <f t="shared" si="337"/>
        <v>0</v>
      </c>
      <c r="AA269" s="350">
        <f t="shared" si="338"/>
        <v>110.91666666666667</v>
      </c>
      <c r="AB269" s="350">
        <f t="shared" si="19"/>
        <v>124</v>
      </c>
      <c r="AC269" s="350">
        <f t="shared" si="339"/>
        <v>117.91666666666667</v>
      </c>
      <c r="AD269" s="350">
        <f t="shared" si="20"/>
        <v>123</v>
      </c>
      <c r="AE269" s="350">
        <f t="shared" si="340"/>
        <v>-8.3333333333333329E-2</v>
      </c>
      <c r="AF269" s="350">
        <f t="shared" si="341"/>
        <v>93988.849045410825</v>
      </c>
    </row>
    <row r="270" spans="1:37">
      <c r="A270" s="848"/>
      <c r="B270" s="289" t="s">
        <v>635</v>
      </c>
      <c r="C270" s="289">
        <v>2011</v>
      </c>
      <c r="D270" s="289">
        <f t="shared" si="325"/>
        <v>111</v>
      </c>
      <c r="E270" s="289">
        <v>4</v>
      </c>
      <c r="F270" s="351">
        <v>0</v>
      </c>
      <c r="G270" s="344" t="s">
        <v>169</v>
      </c>
      <c r="H270" s="289">
        <v>7</v>
      </c>
      <c r="I270" s="289">
        <f t="shared" si="326"/>
        <v>118</v>
      </c>
      <c r="L270" s="350">
        <v>207019</v>
      </c>
      <c r="M270" s="350">
        <v>0</v>
      </c>
      <c r="N270" s="350">
        <f t="shared" si="327"/>
        <v>207019</v>
      </c>
      <c r="O270" s="350">
        <f t="shared" si="328"/>
        <v>2464.511904761905</v>
      </c>
      <c r="P270" s="350">
        <f t="shared" si="329"/>
        <v>0</v>
      </c>
      <c r="Q270" s="350">
        <f t="shared" si="330"/>
        <v>0</v>
      </c>
      <c r="R270" s="350">
        <f t="shared" si="331"/>
        <v>0</v>
      </c>
      <c r="S270" s="352">
        <f>+'WP-11 - Non-Regulated'!$K$40</f>
        <v>0.5539209822239638</v>
      </c>
      <c r="T270" s="350">
        <f t="shared" si="332"/>
        <v>0</v>
      </c>
      <c r="U270" s="350">
        <f t="shared" si="333"/>
        <v>207019</v>
      </c>
      <c r="V270" s="350">
        <f t="shared" si="334"/>
        <v>114672.16781902277</v>
      </c>
      <c r="W270" s="352">
        <v>1</v>
      </c>
      <c r="X270" s="350">
        <f t="shared" si="335"/>
        <v>114672.16781902277</v>
      </c>
      <c r="Y270" s="350">
        <f t="shared" si="336"/>
        <v>114672.16781902277</v>
      </c>
      <c r="Z270" s="350">
        <f t="shared" si="337"/>
        <v>0</v>
      </c>
      <c r="AA270" s="350">
        <f t="shared" si="338"/>
        <v>111.25</v>
      </c>
      <c r="AB270" s="350">
        <f t="shared" si="19"/>
        <v>124</v>
      </c>
      <c r="AC270" s="350">
        <f t="shared" si="339"/>
        <v>118.25</v>
      </c>
      <c r="AD270" s="350">
        <f t="shared" si="20"/>
        <v>123</v>
      </c>
      <c r="AE270" s="350">
        <f t="shared" si="340"/>
        <v>-8.3333333333333329E-2</v>
      </c>
      <c r="AF270" s="350">
        <f t="shared" si="341"/>
        <v>92346.832180977231</v>
      </c>
    </row>
    <row r="271" spans="1:37">
      <c r="B271" s="289" t="s">
        <v>633</v>
      </c>
      <c r="C271" s="289">
        <v>2012</v>
      </c>
      <c r="D271" s="289">
        <f t="shared" si="325"/>
        <v>112</v>
      </c>
      <c r="E271" s="289">
        <v>4</v>
      </c>
      <c r="F271" s="351">
        <v>0</v>
      </c>
      <c r="G271" s="344" t="s">
        <v>169</v>
      </c>
      <c r="H271" s="289">
        <v>7</v>
      </c>
      <c r="I271" s="289">
        <f t="shared" si="326"/>
        <v>119</v>
      </c>
      <c r="L271" s="350">
        <v>220725</v>
      </c>
      <c r="M271" s="350">
        <v>0</v>
      </c>
      <c r="N271" s="350">
        <f t="shared" si="327"/>
        <v>220725</v>
      </c>
      <c r="O271" s="350">
        <f t="shared" si="328"/>
        <v>2627.6785714285716</v>
      </c>
      <c r="P271" s="350">
        <f t="shared" si="329"/>
        <v>0</v>
      </c>
      <c r="Q271" s="350">
        <f t="shared" si="330"/>
        <v>0</v>
      </c>
      <c r="R271" s="350">
        <f t="shared" si="331"/>
        <v>0</v>
      </c>
      <c r="S271" s="352">
        <f>+'WP-11 - Non-Regulated'!$K$40</f>
        <v>0.5539209822239638</v>
      </c>
      <c r="T271" s="350">
        <f t="shared" si="332"/>
        <v>0</v>
      </c>
      <c r="U271" s="350">
        <f t="shared" si="333"/>
        <v>220725</v>
      </c>
      <c r="V271" s="350">
        <f t="shared" si="334"/>
        <v>122264.2088013844</v>
      </c>
      <c r="W271" s="352">
        <v>1</v>
      </c>
      <c r="X271" s="350">
        <f t="shared" si="335"/>
        <v>122264.2088013844</v>
      </c>
      <c r="Y271" s="350">
        <f t="shared" si="336"/>
        <v>122264.2088013844</v>
      </c>
      <c r="Z271" s="350">
        <f t="shared" si="337"/>
        <v>0</v>
      </c>
      <c r="AA271" s="350">
        <f t="shared" si="338"/>
        <v>112.25</v>
      </c>
      <c r="AB271" s="350">
        <f t="shared" si="19"/>
        <v>124</v>
      </c>
      <c r="AC271" s="350">
        <f t="shared" si="339"/>
        <v>119.25</v>
      </c>
      <c r="AD271" s="350">
        <f t="shared" si="20"/>
        <v>123</v>
      </c>
      <c r="AE271" s="350">
        <f t="shared" si="340"/>
        <v>-8.3333333333333329E-2</v>
      </c>
      <c r="AF271" s="350">
        <f t="shared" si="341"/>
        <v>98460.791198615596</v>
      </c>
    </row>
    <row r="272" spans="1:37">
      <c r="B272" s="289" t="s">
        <v>632</v>
      </c>
      <c r="C272" s="289">
        <v>2012</v>
      </c>
      <c r="D272" s="289">
        <f t="shared" si="325"/>
        <v>112</v>
      </c>
      <c r="E272" s="289">
        <v>8</v>
      </c>
      <c r="F272" s="351">
        <v>0</v>
      </c>
      <c r="G272" s="344" t="s">
        <v>169</v>
      </c>
      <c r="H272" s="289">
        <v>7</v>
      </c>
      <c r="I272" s="289">
        <f t="shared" si="326"/>
        <v>119</v>
      </c>
      <c r="L272" s="350">
        <v>243414</v>
      </c>
      <c r="M272" s="350">
        <v>0</v>
      </c>
      <c r="N272" s="350">
        <f t="shared" si="327"/>
        <v>243414</v>
      </c>
      <c r="O272" s="350">
        <f t="shared" si="328"/>
        <v>2897.7857142857142</v>
      </c>
      <c r="P272" s="350">
        <f t="shared" si="329"/>
        <v>0</v>
      </c>
      <c r="Q272" s="350">
        <f t="shared" si="330"/>
        <v>0</v>
      </c>
      <c r="R272" s="350">
        <f t="shared" si="331"/>
        <v>0</v>
      </c>
      <c r="S272" s="352">
        <f>+'WP-11 - Non-Regulated'!$K$40</f>
        <v>0.5539209822239638</v>
      </c>
      <c r="T272" s="350">
        <f t="shared" si="332"/>
        <v>0</v>
      </c>
      <c r="U272" s="350">
        <f t="shared" si="333"/>
        <v>243414</v>
      </c>
      <c r="V272" s="350">
        <f t="shared" si="334"/>
        <v>134832.12196706393</v>
      </c>
      <c r="W272" s="352">
        <v>1</v>
      </c>
      <c r="X272" s="350">
        <f t="shared" si="335"/>
        <v>134832.12196706393</v>
      </c>
      <c r="Y272" s="350">
        <f t="shared" si="336"/>
        <v>134832.12196706393</v>
      </c>
      <c r="Z272" s="350">
        <f t="shared" si="337"/>
        <v>0</v>
      </c>
      <c r="AA272" s="350">
        <f t="shared" si="338"/>
        <v>112.58333333333333</v>
      </c>
      <c r="AB272" s="350">
        <f t="shared" si="19"/>
        <v>124</v>
      </c>
      <c r="AC272" s="350">
        <f t="shared" si="339"/>
        <v>119.58333333333333</v>
      </c>
      <c r="AD272" s="350">
        <f t="shared" si="20"/>
        <v>123</v>
      </c>
      <c r="AE272" s="350">
        <f t="shared" si="340"/>
        <v>-8.3333333333333329E-2</v>
      </c>
      <c r="AF272" s="350">
        <f t="shared" si="341"/>
        <v>108581.87803293607</v>
      </c>
    </row>
    <row r="273" spans="2:32">
      <c r="B273" s="289" t="s">
        <v>632</v>
      </c>
      <c r="C273" s="289">
        <v>2012</v>
      </c>
      <c r="D273" s="289">
        <f t="shared" si="325"/>
        <v>112</v>
      </c>
      <c r="E273" s="289">
        <v>8</v>
      </c>
      <c r="F273" s="351">
        <v>0</v>
      </c>
      <c r="G273" s="344" t="s">
        <v>169</v>
      </c>
      <c r="H273" s="289">
        <v>7</v>
      </c>
      <c r="I273" s="289">
        <f t="shared" si="326"/>
        <v>119</v>
      </c>
      <c r="L273" s="350">
        <v>217257</v>
      </c>
      <c r="M273" s="350">
        <v>0</v>
      </c>
      <c r="N273" s="350">
        <f t="shared" si="327"/>
        <v>217257</v>
      </c>
      <c r="O273" s="350">
        <f t="shared" si="328"/>
        <v>2586.3928571428573</v>
      </c>
      <c r="P273" s="350">
        <f t="shared" si="329"/>
        <v>0</v>
      </c>
      <c r="Q273" s="350">
        <f t="shared" si="330"/>
        <v>0</v>
      </c>
      <c r="R273" s="350">
        <f t="shared" si="331"/>
        <v>0</v>
      </c>
      <c r="S273" s="352">
        <f>+'WP-11 - Non-Regulated'!$K$40</f>
        <v>0.5539209822239638</v>
      </c>
      <c r="T273" s="350">
        <f t="shared" si="332"/>
        <v>0</v>
      </c>
      <c r="U273" s="350">
        <f t="shared" si="333"/>
        <v>217257</v>
      </c>
      <c r="V273" s="350">
        <f t="shared" si="334"/>
        <v>120343.2108350317</v>
      </c>
      <c r="W273" s="352">
        <v>1</v>
      </c>
      <c r="X273" s="350">
        <f t="shared" si="335"/>
        <v>120343.2108350317</v>
      </c>
      <c r="Y273" s="350">
        <f t="shared" si="336"/>
        <v>120343.2108350317</v>
      </c>
      <c r="Z273" s="350">
        <f t="shared" si="337"/>
        <v>0</v>
      </c>
      <c r="AA273" s="350">
        <f t="shared" si="338"/>
        <v>112.58333333333333</v>
      </c>
      <c r="AB273" s="350">
        <f t="shared" si="19"/>
        <v>124</v>
      </c>
      <c r="AC273" s="350">
        <f t="shared" si="339"/>
        <v>119.58333333333333</v>
      </c>
      <c r="AD273" s="350">
        <f t="shared" si="20"/>
        <v>123</v>
      </c>
      <c r="AE273" s="350">
        <f t="shared" si="340"/>
        <v>-8.3333333333333329E-2</v>
      </c>
      <c r="AF273" s="350">
        <f t="shared" si="341"/>
        <v>96913.789164968301</v>
      </c>
    </row>
    <row r="274" spans="2:32">
      <c r="B274" s="289" t="s">
        <v>633</v>
      </c>
      <c r="C274" s="289">
        <v>2012</v>
      </c>
      <c r="D274" s="289">
        <f t="shared" si="325"/>
        <v>112</v>
      </c>
      <c r="E274" s="289">
        <v>10</v>
      </c>
      <c r="F274" s="351">
        <v>0</v>
      </c>
      <c r="G274" s="344" t="s">
        <v>169</v>
      </c>
      <c r="H274" s="289">
        <v>7</v>
      </c>
      <c r="I274" s="289">
        <f t="shared" si="326"/>
        <v>119</v>
      </c>
      <c r="L274" s="350">
        <v>236587</v>
      </c>
      <c r="M274" s="350">
        <v>0</v>
      </c>
      <c r="N274" s="350">
        <f t="shared" si="327"/>
        <v>236587</v>
      </c>
      <c r="O274" s="350">
        <f t="shared" si="328"/>
        <v>2816.5119047619046</v>
      </c>
      <c r="P274" s="350">
        <f t="shared" si="329"/>
        <v>0</v>
      </c>
      <c r="Q274" s="350">
        <f t="shared" si="330"/>
        <v>0</v>
      </c>
      <c r="R274" s="350">
        <f t="shared" si="331"/>
        <v>0</v>
      </c>
      <c r="S274" s="352">
        <f>+'WP-11 - Non-Regulated'!$K$40</f>
        <v>0.5539209822239638</v>
      </c>
      <c r="T274" s="350">
        <f t="shared" si="332"/>
        <v>0</v>
      </c>
      <c r="U274" s="350">
        <f t="shared" si="333"/>
        <v>236587</v>
      </c>
      <c r="V274" s="350">
        <f t="shared" si="334"/>
        <v>131050.50342142093</v>
      </c>
      <c r="W274" s="352">
        <v>1</v>
      </c>
      <c r="X274" s="350">
        <f t="shared" si="335"/>
        <v>131050.50342142093</v>
      </c>
      <c r="Y274" s="350">
        <f t="shared" si="336"/>
        <v>131050.50342142093</v>
      </c>
      <c r="Z274" s="350">
        <f t="shared" si="337"/>
        <v>0</v>
      </c>
      <c r="AA274" s="350">
        <f t="shared" si="338"/>
        <v>112.75</v>
      </c>
      <c r="AB274" s="350">
        <f t="shared" si="19"/>
        <v>124</v>
      </c>
      <c r="AC274" s="350">
        <f t="shared" si="339"/>
        <v>119.75</v>
      </c>
      <c r="AD274" s="350">
        <f t="shared" si="20"/>
        <v>123</v>
      </c>
      <c r="AE274" s="350">
        <f t="shared" si="340"/>
        <v>-8.3333333333333329E-2</v>
      </c>
      <c r="AF274" s="350">
        <f t="shared" si="341"/>
        <v>105536.49657857907</v>
      </c>
    </row>
    <row r="275" spans="2:32">
      <c r="B275" s="289" t="s">
        <v>632</v>
      </c>
      <c r="C275" s="289">
        <v>2013</v>
      </c>
      <c r="D275" s="289">
        <f t="shared" si="325"/>
        <v>113</v>
      </c>
      <c r="E275" s="289">
        <v>8</v>
      </c>
      <c r="F275" s="351">
        <v>0</v>
      </c>
      <c r="G275" s="344" t="s">
        <v>169</v>
      </c>
      <c r="H275" s="289">
        <v>7</v>
      </c>
      <c r="I275" s="289">
        <f t="shared" si="326"/>
        <v>120</v>
      </c>
      <c r="L275" s="350">
        <v>220833</v>
      </c>
      <c r="M275" s="350">
        <v>0</v>
      </c>
      <c r="N275" s="350">
        <f t="shared" si="327"/>
        <v>220833</v>
      </c>
      <c r="O275" s="350">
        <f t="shared" si="328"/>
        <v>2628.9642857142858</v>
      </c>
      <c r="P275" s="350">
        <f t="shared" si="329"/>
        <v>0</v>
      </c>
      <c r="Q275" s="350">
        <f t="shared" si="330"/>
        <v>0</v>
      </c>
      <c r="R275" s="350">
        <f t="shared" si="331"/>
        <v>0</v>
      </c>
      <c r="S275" s="352">
        <f>+'WP-11 - Non-Regulated'!$K$40</f>
        <v>0.5539209822239638</v>
      </c>
      <c r="T275" s="350">
        <f t="shared" si="332"/>
        <v>0</v>
      </c>
      <c r="U275" s="350">
        <f t="shared" si="333"/>
        <v>220833</v>
      </c>
      <c r="V275" s="350">
        <f t="shared" si="334"/>
        <v>122324.0322674646</v>
      </c>
      <c r="W275" s="352">
        <v>1</v>
      </c>
      <c r="X275" s="350">
        <f t="shared" si="335"/>
        <v>122324.0322674646</v>
      </c>
      <c r="Y275" s="350">
        <f t="shared" si="336"/>
        <v>122324.0322674646</v>
      </c>
      <c r="Z275" s="350">
        <f t="shared" si="337"/>
        <v>0</v>
      </c>
      <c r="AA275" s="350">
        <f t="shared" si="338"/>
        <v>113.58333333333333</v>
      </c>
      <c r="AB275" s="350">
        <f t="shared" si="19"/>
        <v>124</v>
      </c>
      <c r="AC275" s="350">
        <f t="shared" si="339"/>
        <v>120.58333333333333</v>
      </c>
      <c r="AD275" s="350">
        <f t="shared" si="20"/>
        <v>123</v>
      </c>
      <c r="AE275" s="350">
        <f t="shared" si="340"/>
        <v>-8.3333333333333329E-2</v>
      </c>
      <c r="AF275" s="350">
        <f t="shared" si="341"/>
        <v>98508.967732535399</v>
      </c>
    </row>
    <row r="276" spans="2:32">
      <c r="B276" s="289" t="s">
        <v>632</v>
      </c>
      <c r="C276" s="289">
        <v>2015</v>
      </c>
      <c r="D276" s="289">
        <f t="shared" si="325"/>
        <v>115</v>
      </c>
      <c r="E276" s="289">
        <v>7</v>
      </c>
      <c r="F276" s="351">
        <v>0</v>
      </c>
      <c r="G276" s="344" t="s">
        <v>169</v>
      </c>
      <c r="H276" s="289">
        <v>7</v>
      </c>
      <c r="I276" s="289">
        <f t="shared" si="326"/>
        <v>122</v>
      </c>
      <c r="L276" s="350">
        <v>132207</v>
      </c>
      <c r="M276" s="350">
        <v>0</v>
      </c>
      <c r="N276" s="350">
        <f t="shared" si="327"/>
        <v>132207</v>
      </c>
      <c r="O276" s="350">
        <f t="shared" si="328"/>
        <v>1573.8928571428571</v>
      </c>
      <c r="P276" s="350">
        <f t="shared" si="329"/>
        <v>0</v>
      </c>
      <c r="Q276" s="350">
        <f t="shared" si="330"/>
        <v>0</v>
      </c>
      <c r="R276" s="350">
        <f t="shared" si="331"/>
        <v>0</v>
      </c>
      <c r="S276" s="352">
        <f>+'WP-11 - Non-Regulated'!$K$40</f>
        <v>0.5539209822239638</v>
      </c>
      <c r="T276" s="350">
        <f t="shared" si="332"/>
        <v>0</v>
      </c>
      <c r="U276" s="350">
        <f t="shared" si="333"/>
        <v>132207</v>
      </c>
      <c r="V276" s="350">
        <f t="shared" si="334"/>
        <v>73232.231296883576</v>
      </c>
      <c r="W276" s="352">
        <v>1</v>
      </c>
      <c r="X276" s="350">
        <f t="shared" si="335"/>
        <v>73232.231296883576</v>
      </c>
      <c r="Y276" s="350">
        <f t="shared" si="336"/>
        <v>73232.231296883576</v>
      </c>
      <c r="Z276" s="350">
        <f t="shared" si="337"/>
        <v>0</v>
      </c>
      <c r="AA276" s="350">
        <f t="shared" si="338"/>
        <v>115.5</v>
      </c>
      <c r="AB276" s="350">
        <f t="shared" si="19"/>
        <v>124</v>
      </c>
      <c r="AC276" s="350">
        <f t="shared" si="339"/>
        <v>122.5</v>
      </c>
      <c r="AD276" s="350">
        <f t="shared" si="20"/>
        <v>123</v>
      </c>
      <c r="AE276" s="350">
        <f t="shared" si="340"/>
        <v>-8.3333333333333329E-2</v>
      </c>
      <c r="AF276" s="350">
        <f t="shared" si="341"/>
        <v>58974.768703116424</v>
      </c>
    </row>
    <row r="277" spans="2:32">
      <c r="B277" s="289" t="s">
        <v>630</v>
      </c>
      <c r="C277" s="289">
        <v>2015</v>
      </c>
      <c r="D277" s="289">
        <f t="shared" si="325"/>
        <v>115</v>
      </c>
      <c r="E277" s="289">
        <v>7</v>
      </c>
      <c r="F277" s="351">
        <v>0</v>
      </c>
      <c r="G277" s="344" t="s">
        <v>169</v>
      </c>
      <c r="H277" s="289">
        <v>7</v>
      </c>
      <c r="I277" s="289">
        <f t="shared" si="326"/>
        <v>122</v>
      </c>
      <c r="L277" s="350">
        <v>125304</v>
      </c>
      <c r="M277" s="350">
        <v>0</v>
      </c>
      <c r="N277" s="350">
        <f t="shared" si="327"/>
        <v>125304</v>
      </c>
      <c r="O277" s="350">
        <f t="shared" si="328"/>
        <v>1491.7142857142856</v>
      </c>
      <c r="P277" s="350">
        <f t="shared" si="329"/>
        <v>0</v>
      </c>
      <c r="Q277" s="350">
        <f t="shared" si="330"/>
        <v>0</v>
      </c>
      <c r="R277" s="350">
        <f t="shared" si="331"/>
        <v>0</v>
      </c>
      <c r="S277" s="352">
        <f>+'WP-11 - Non-Regulated'!$K$40</f>
        <v>0.5539209822239638</v>
      </c>
      <c r="T277" s="350">
        <f t="shared" si="332"/>
        <v>0</v>
      </c>
      <c r="U277" s="350">
        <f t="shared" si="333"/>
        <v>125304</v>
      </c>
      <c r="V277" s="350">
        <f t="shared" si="334"/>
        <v>69408.514756591554</v>
      </c>
      <c r="W277" s="352">
        <v>1</v>
      </c>
      <c r="X277" s="350">
        <f t="shared" si="335"/>
        <v>69408.514756591554</v>
      </c>
      <c r="Y277" s="350">
        <f t="shared" si="336"/>
        <v>69408.514756591554</v>
      </c>
      <c r="Z277" s="350">
        <f t="shared" si="337"/>
        <v>0</v>
      </c>
      <c r="AA277" s="350">
        <f t="shared" si="338"/>
        <v>115.5</v>
      </c>
      <c r="AB277" s="350">
        <f t="shared" si="19"/>
        <v>124</v>
      </c>
      <c r="AC277" s="350">
        <f t="shared" si="339"/>
        <v>122.5</v>
      </c>
      <c r="AD277" s="350">
        <f t="shared" si="20"/>
        <v>123</v>
      </c>
      <c r="AE277" s="350">
        <f t="shared" si="340"/>
        <v>-8.3333333333333329E-2</v>
      </c>
      <c r="AF277" s="350">
        <f t="shared" si="341"/>
        <v>55895.485243408446</v>
      </c>
    </row>
    <row r="278" spans="2:32">
      <c r="B278" s="289" t="s">
        <v>680</v>
      </c>
      <c r="C278" s="289">
        <v>2015</v>
      </c>
      <c r="D278" s="289">
        <f t="shared" si="325"/>
        <v>115</v>
      </c>
      <c r="E278" s="289">
        <v>9</v>
      </c>
      <c r="F278" s="351">
        <v>0</v>
      </c>
      <c r="G278" s="344" t="s">
        <v>169</v>
      </c>
      <c r="H278" s="289">
        <v>7</v>
      </c>
      <c r="I278" s="289">
        <f t="shared" si="326"/>
        <v>122</v>
      </c>
      <c r="L278" s="350">
        <v>108397</v>
      </c>
      <c r="M278" s="350"/>
      <c r="N278" s="350">
        <f t="shared" si="327"/>
        <v>108397</v>
      </c>
      <c r="O278" s="350">
        <f t="shared" si="328"/>
        <v>1290.4404761904761</v>
      </c>
      <c r="P278" s="350">
        <f t="shared" si="329"/>
        <v>0</v>
      </c>
      <c r="Q278" s="350">
        <f t="shared" si="330"/>
        <v>0</v>
      </c>
      <c r="R278" s="350">
        <f t="shared" si="331"/>
        <v>0</v>
      </c>
      <c r="S278" s="352">
        <f>+'WP-11 - Non-Regulated'!$K$40</f>
        <v>0.5539209822239638</v>
      </c>
      <c r="T278" s="350">
        <f t="shared" si="332"/>
        <v>0</v>
      </c>
      <c r="U278" s="350">
        <f t="shared" si="333"/>
        <v>108397</v>
      </c>
      <c r="V278" s="350">
        <f t="shared" si="334"/>
        <v>60043.372710131007</v>
      </c>
      <c r="W278" s="352">
        <v>1</v>
      </c>
      <c r="X278" s="350">
        <f t="shared" si="335"/>
        <v>60043.372710131007</v>
      </c>
      <c r="Y278" s="350">
        <f t="shared" si="336"/>
        <v>60043.372710131007</v>
      </c>
      <c r="Z278" s="350">
        <f t="shared" si="337"/>
        <v>0</v>
      </c>
      <c r="AA278" s="350">
        <f t="shared" si="338"/>
        <v>115.66666666666667</v>
      </c>
      <c r="AB278" s="350">
        <f t="shared" si="19"/>
        <v>124</v>
      </c>
      <c r="AC278" s="350">
        <f t="shared" si="339"/>
        <v>122.66666666666667</v>
      </c>
      <c r="AD278" s="350">
        <f t="shared" si="20"/>
        <v>123</v>
      </c>
      <c r="AE278" s="350">
        <f t="shared" si="340"/>
        <v>-8.3333333333333329E-2</v>
      </c>
      <c r="AF278" s="350">
        <f t="shared" si="341"/>
        <v>48353.627289868993</v>
      </c>
    </row>
    <row r="279" spans="2:32">
      <c r="B279" s="289" t="s">
        <v>629</v>
      </c>
      <c r="C279" s="289">
        <v>2015</v>
      </c>
      <c r="D279" s="289">
        <f t="shared" si="325"/>
        <v>115</v>
      </c>
      <c r="E279" s="289">
        <v>6</v>
      </c>
      <c r="F279" s="351">
        <v>0</v>
      </c>
      <c r="G279" s="344" t="s">
        <v>169</v>
      </c>
      <c r="H279" s="289">
        <v>7</v>
      </c>
      <c r="I279" s="289">
        <f t="shared" si="326"/>
        <v>122</v>
      </c>
      <c r="L279" s="350">
        <v>129502</v>
      </c>
      <c r="M279" s="350">
        <v>0</v>
      </c>
      <c r="N279" s="350">
        <f t="shared" si="327"/>
        <v>129502</v>
      </c>
      <c r="O279" s="350">
        <f t="shared" si="328"/>
        <v>1541.6904761904761</v>
      </c>
      <c r="P279" s="350">
        <f t="shared" si="329"/>
        <v>0</v>
      </c>
      <c r="Q279" s="350">
        <f t="shared" si="330"/>
        <v>0</v>
      </c>
      <c r="R279" s="350">
        <f t="shared" si="331"/>
        <v>0</v>
      </c>
      <c r="S279" s="352">
        <f>+'WP-11 - Non-Regulated'!$K$40</f>
        <v>0.5539209822239638</v>
      </c>
      <c r="T279" s="350">
        <f t="shared" si="332"/>
        <v>0</v>
      </c>
      <c r="U279" s="350">
        <f t="shared" si="333"/>
        <v>129502</v>
      </c>
      <c r="V279" s="350">
        <f t="shared" si="334"/>
        <v>71733.875039967766</v>
      </c>
      <c r="W279" s="352">
        <v>1</v>
      </c>
      <c r="X279" s="350">
        <f t="shared" si="335"/>
        <v>71733.875039967766</v>
      </c>
      <c r="Y279" s="350">
        <f t="shared" si="336"/>
        <v>71733.875039967766</v>
      </c>
      <c r="Z279" s="350">
        <f t="shared" si="337"/>
        <v>0</v>
      </c>
      <c r="AA279" s="350">
        <f t="shared" si="338"/>
        <v>115.41666666666667</v>
      </c>
      <c r="AB279" s="350">
        <f t="shared" si="19"/>
        <v>124</v>
      </c>
      <c r="AC279" s="350">
        <f t="shared" si="339"/>
        <v>122.41666666666667</v>
      </c>
      <c r="AD279" s="350">
        <f t="shared" si="20"/>
        <v>123</v>
      </c>
      <c r="AE279" s="350">
        <f t="shared" si="340"/>
        <v>-8.3333333333333329E-2</v>
      </c>
      <c r="AF279" s="350">
        <f t="shared" si="341"/>
        <v>57768.124960032234</v>
      </c>
    </row>
    <row r="280" spans="2:32">
      <c r="B280" s="289" t="s">
        <v>628</v>
      </c>
      <c r="C280" s="289">
        <v>2015</v>
      </c>
      <c r="D280" s="289">
        <f t="shared" si="325"/>
        <v>115</v>
      </c>
      <c r="E280" s="289">
        <v>7</v>
      </c>
      <c r="F280" s="351">
        <v>0</v>
      </c>
      <c r="G280" s="344" t="s">
        <v>169</v>
      </c>
      <c r="H280" s="289">
        <v>7</v>
      </c>
      <c r="I280" s="289">
        <f t="shared" si="326"/>
        <v>122</v>
      </c>
      <c r="L280" s="350">
        <v>124065</v>
      </c>
      <c r="M280" s="350">
        <v>0</v>
      </c>
      <c r="N280" s="350">
        <f t="shared" si="327"/>
        <v>124065</v>
      </c>
      <c r="O280" s="350">
        <f t="shared" si="328"/>
        <v>1476.9642857142856</v>
      </c>
      <c r="P280" s="350">
        <f t="shared" si="329"/>
        <v>0</v>
      </c>
      <c r="Q280" s="350">
        <f t="shared" si="330"/>
        <v>0</v>
      </c>
      <c r="R280" s="350">
        <f t="shared" si="331"/>
        <v>0</v>
      </c>
      <c r="S280" s="352">
        <f>+S130</f>
        <v>0.45392098222396382</v>
      </c>
      <c r="T280" s="350">
        <f t="shared" si="332"/>
        <v>0</v>
      </c>
      <c r="U280" s="350">
        <f t="shared" si="333"/>
        <v>124065</v>
      </c>
      <c r="V280" s="350">
        <f t="shared" si="334"/>
        <v>56315.706659616073</v>
      </c>
      <c r="W280" s="352">
        <v>1</v>
      </c>
      <c r="X280" s="350">
        <f t="shared" si="335"/>
        <v>56315.706659616073</v>
      </c>
      <c r="Y280" s="350">
        <f t="shared" si="336"/>
        <v>56315.706659616073</v>
      </c>
      <c r="Z280" s="350">
        <f t="shared" si="337"/>
        <v>0</v>
      </c>
      <c r="AA280" s="350">
        <f t="shared" si="338"/>
        <v>115.5</v>
      </c>
      <c r="AB280" s="350">
        <f t="shared" si="19"/>
        <v>124</v>
      </c>
      <c r="AC280" s="350">
        <f t="shared" si="339"/>
        <v>122.5</v>
      </c>
      <c r="AD280" s="350">
        <f t="shared" si="20"/>
        <v>123</v>
      </c>
      <c r="AE280" s="350">
        <f t="shared" si="340"/>
        <v>-8.3333333333333329E-2</v>
      </c>
      <c r="AF280" s="350">
        <f t="shared" si="341"/>
        <v>67749.293340383927</v>
      </c>
    </row>
    <row r="281" spans="2:32">
      <c r="B281" s="289" t="s">
        <v>627</v>
      </c>
      <c r="C281" s="289">
        <v>2016</v>
      </c>
      <c r="D281" s="289">
        <f t="shared" si="325"/>
        <v>116</v>
      </c>
      <c r="E281" s="289">
        <v>6</v>
      </c>
      <c r="F281" s="351">
        <v>0</v>
      </c>
      <c r="G281" s="344" t="s">
        <v>169</v>
      </c>
      <c r="H281" s="289">
        <v>7</v>
      </c>
      <c r="I281" s="289">
        <f t="shared" si="326"/>
        <v>123</v>
      </c>
      <c r="L281" s="350">
        <v>168098</v>
      </c>
      <c r="M281" s="350">
        <v>0</v>
      </c>
      <c r="N281" s="350">
        <f t="shared" si="327"/>
        <v>168098</v>
      </c>
      <c r="O281" s="350">
        <f t="shared" si="328"/>
        <v>2001.1666666666667</v>
      </c>
      <c r="P281" s="350">
        <f t="shared" si="329"/>
        <v>10005.833333333447</v>
      </c>
      <c r="Q281" s="350">
        <f t="shared" si="330"/>
        <v>0</v>
      </c>
      <c r="R281" s="350">
        <f t="shared" si="331"/>
        <v>10005.833333333447</v>
      </c>
      <c r="S281" s="352">
        <f>+S280</f>
        <v>0.45392098222396382</v>
      </c>
      <c r="T281" s="350">
        <f t="shared" si="332"/>
        <v>4541.8576946359963</v>
      </c>
      <c r="U281" s="350">
        <f t="shared" si="333"/>
        <v>158092.16666666654</v>
      </c>
      <c r="V281" s="350">
        <f t="shared" si="334"/>
        <v>71761.351575247871</v>
      </c>
      <c r="W281" s="352">
        <v>1</v>
      </c>
      <c r="X281" s="350">
        <f t="shared" si="335"/>
        <v>71761.351575247871</v>
      </c>
      <c r="Y281" s="350">
        <f t="shared" si="336"/>
        <v>76303.209269883868</v>
      </c>
      <c r="Z281" s="350">
        <f t="shared" si="337"/>
        <v>0</v>
      </c>
      <c r="AA281" s="350">
        <f t="shared" si="338"/>
        <v>116.41666666666667</v>
      </c>
      <c r="AB281" s="350">
        <f t="shared" si="19"/>
        <v>124</v>
      </c>
      <c r="AC281" s="350">
        <f t="shared" si="339"/>
        <v>123.41666666666667</v>
      </c>
      <c r="AD281" s="350">
        <f t="shared" si="20"/>
        <v>123</v>
      </c>
      <c r="AE281" s="350">
        <f t="shared" si="340"/>
        <v>-8.3333333333333329E-2</v>
      </c>
      <c r="AF281" s="350">
        <f t="shared" si="341"/>
        <v>94065.719577434123</v>
      </c>
    </row>
    <row r="282" spans="2:32">
      <c r="B282" s="289" t="s">
        <v>626</v>
      </c>
      <c r="C282" s="289">
        <v>2016</v>
      </c>
      <c r="D282" s="289">
        <f t="shared" si="325"/>
        <v>116</v>
      </c>
      <c r="E282" s="289">
        <v>6</v>
      </c>
      <c r="F282" s="351">
        <v>0</v>
      </c>
      <c r="G282" s="344" t="s">
        <v>169</v>
      </c>
      <c r="H282" s="289">
        <v>7</v>
      </c>
      <c r="I282" s="289">
        <f t="shared" si="326"/>
        <v>123</v>
      </c>
      <c r="L282" s="350">
        <v>130021</v>
      </c>
      <c r="M282" s="350">
        <v>0</v>
      </c>
      <c r="N282" s="350">
        <f t="shared" si="327"/>
        <v>130021</v>
      </c>
      <c r="O282" s="350">
        <f t="shared" si="328"/>
        <v>1547.8690476190477</v>
      </c>
      <c r="P282" s="350">
        <f t="shared" si="329"/>
        <v>7739.3452380953267</v>
      </c>
      <c r="Q282" s="350">
        <f t="shared" si="330"/>
        <v>0</v>
      </c>
      <c r="R282" s="350">
        <f t="shared" si="331"/>
        <v>7739.3452380953267</v>
      </c>
      <c r="S282" s="352">
        <f>+'WP-11 - Non-Regulated'!$K$40</f>
        <v>0.5539209822239638</v>
      </c>
      <c r="T282" s="350">
        <f t="shared" si="332"/>
        <v>4286.9857160561205</v>
      </c>
      <c r="U282" s="350">
        <f t="shared" si="333"/>
        <v>122281.65476190468</v>
      </c>
      <c r="V282" s="350">
        <f t="shared" si="334"/>
        <v>67734.374313685883</v>
      </c>
      <c r="W282" s="352">
        <v>1</v>
      </c>
      <c r="X282" s="350">
        <f t="shared" si="335"/>
        <v>67734.374313685883</v>
      </c>
      <c r="Y282" s="350">
        <f t="shared" si="336"/>
        <v>72021.360029742005</v>
      </c>
      <c r="Z282" s="350">
        <f t="shared" si="337"/>
        <v>0</v>
      </c>
      <c r="AA282" s="350">
        <f t="shared" si="338"/>
        <v>116.41666666666667</v>
      </c>
      <c r="AB282" s="350">
        <f t="shared" si="19"/>
        <v>124</v>
      </c>
      <c r="AC282" s="350">
        <f t="shared" si="339"/>
        <v>123.41666666666667</v>
      </c>
      <c r="AD282" s="350">
        <f t="shared" si="20"/>
        <v>123</v>
      </c>
      <c r="AE282" s="350">
        <f t="shared" si="340"/>
        <v>-8.3333333333333329E-2</v>
      </c>
      <c r="AF282" s="350">
        <f t="shared" si="341"/>
        <v>60143.132828286063</v>
      </c>
    </row>
    <row r="283" spans="2:32">
      <c r="B283" s="289" t="s">
        <v>625</v>
      </c>
      <c r="C283" s="289">
        <v>2016</v>
      </c>
      <c r="D283" s="289">
        <f t="shared" si="325"/>
        <v>116</v>
      </c>
      <c r="E283" s="289">
        <v>9</v>
      </c>
      <c r="F283" s="351">
        <v>0</v>
      </c>
      <c r="G283" s="344" t="s">
        <v>169</v>
      </c>
      <c r="H283" s="289">
        <v>7</v>
      </c>
      <c r="I283" s="289">
        <f t="shared" si="326"/>
        <v>123</v>
      </c>
      <c r="L283" s="350">
        <v>264049</v>
      </c>
      <c r="M283" s="350">
        <v>0</v>
      </c>
      <c r="N283" s="350">
        <f t="shared" si="327"/>
        <v>264049</v>
      </c>
      <c r="O283" s="350">
        <f t="shared" si="328"/>
        <v>3143.4404761904766</v>
      </c>
      <c r="P283" s="350">
        <f t="shared" si="329"/>
        <v>25147.523809523991</v>
      </c>
      <c r="Q283" s="350">
        <f t="shared" si="330"/>
        <v>0</v>
      </c>
      <c r="R283" s="350">
        <f t="shared" si="331"/>
        <v>25147.523809523991</v>
      </c>
      <c r="S283" s="352">
        <f>+'WP-11 - Non-Regulated'!$K$40</f>
        <v>0.5539209822239638</v>
      </c>
      <c r="T283" s="350">
        <f t="shared" si="332"/>
        <v>13929.741089072046</v>
      </c>
      <c r="U283" s="350">
        <f t="shared" si="333"/>
        <v>238901.47619047601</v>
      </c>
      <c r="V283" s="350">
        <f t="shared" si="334"/>
        <v>132332.54034618338</v>
      </c>
      <c r="W283" s="352">
        <v>1</v>
      </c>
      <c r="X283" s="350">
        <f t="shared" si="335"/>
        <v>132332.54034618338</v>
      </c>
      <c r="Y283" s="350">
        <f t="shared" si="336"/>
        <v>146262.28143525543</v>
      </c>
      <c r="Z283" s="350">
        <f t="shared" si="337"/>
        <v>0</v>
      </c>
      <c r="AA283" s="350">
        <f t="shared" si="338"/>
        <v>116.66666666666667</v>
      </c>
      <c r="AB283" s="350">
        <f t="shared" si="19"/>
        <v>124</v>
      </c>
      <c r="AC283" s="350">
        <f t="shared" si="339"/>
        <v>123.66666666666667</v>
      </c>
      <c r="AD283" s="350">
        <f t="shared" si="20"/>
        <v>123</v>
      </c>
      <c r="AE283" s="350">
        <f t="shared" si="340"/>
        <v>-8.3333333333333329E-2</v>
      </c>
      <c r="AF283" s="350">
        <f t="shared" si="341"/>
        <v>124751.58910928061</v>
      </c>
    </row>
    <row r="284" spans="2:32">
      <c r="B284" s="289" t="s">
        <v>625</v>
      </c>
      <c r="C284" s="289">
        <v>2016</v>
      </c>
      <c r="D284" s="289">
        <f t="shared" si="325"/>
        <v>116</v>
      </c>
      <c r="E284" s="289">
        <v>10</v>
      </c>
      <c r="F284" s="351">
        <v>0</v>
      </c>
      <c r="G284" s="344" t="s">
        <v>169</v>
      </c>
      <c r="H284" s="289">
        <v>7</v>
      </c>
      <c r="I284" s="289">
        <f t="shared" si="326"/>
        <v>123</v>
      </c>
      <c r="L284" s="350">
        <v>264049</v>
      </c>
      <c r="M284" s="350">
        <v>0</v>
      </c>
      <c r="N284" s="350">
        <f t="shared" si="327"/>
        <v>264049</v>
      </c>
      <c r="O284" s="350">
        <f t="shared" si="328"/>
        <v>3143.4404761904766</v>
      </c>
      <c r="P284" s="350">
        <f t="shared" si="329"/>
        <v>28290.96428571429</v>
      </c>
      <c r="Q284" s="350">
        <f t="shared" si="330"/>
        <v>0</v>
      </c>
      <c r="R284" s="350">
        <f t="shared" si="331"/>
        <v>28290.96428571429</v>
      </c>
      <c r="S284" s="352">
        <f>+'WP-11 - Non-Regulated'!$K$40</f>
        <v>0.5539209822239638</v>
      </c>
      <c r="T284" s="350">
        <f t="shared" si="332"/>
        <v>15670.958725205939</v>
      </c>
      <c r="U284" s="350">
        <f t="shared" si="333"/>
        <v>235758.03571428571</v>
      </c>
      <c r="V284" s="350">
        <f t="shared" si="334"/>
        <v>130591.32271004948</v>
      </c>
      <c r="W284" s="352">
        <v>1</v>
      </c>
      <c r="X284" s="350">
        <f t="shared" si="335"/>
        <v>130591.32271004948</v>
      </c>
      <c r="Y284" s="350">
        <f t="shared" si="336"/>
        <v>146262.28143525543</v>
      </c>
      <c r="Z284" s="350">
        <f t="shared" si="337"/>
        <v>0</v>
      </c>
      <c r="AA284" s="350">
        <f t="shared" si="338"/>
        <v>116.75</v>
      </c>
      <c r="AB284" s="350">
        <f t="shared" si="19"/>
        <v>124</v>
      </c>
      <c r="AC284" s="350">
        <f t="shared" si="339"/>
        <v>123.75</v>
      </c>
      <c r="AD284" s="350">
        <f t="shared" si="20"/>
        <v>123</v>
      </c>
      <c r="AE284" s="350">
        <f t="shared" si="340"/>
        <v>-8.3333333333333329E-2</v>
      </c>
      <c r="AF284" s="350">
        <f t="shared" si="341"/>
        <v>125622.19792734756</v>
      </c>
    </row>
    <row r="285" spans="2:32">
      <c r="B285" s="289" t="s">
        <v>624</v>
      </c>
      <c r="C285" s="289">
        <v>2017</v>
      </c>
      <c r="D285" s="289">
        <f t="shared" si="325"/>
        <v>117</v>
      </c>
      <c r="E285" s="289">
        <v>7</v>
      </c>
      <c r="F285" s="351">
        <v>0</v>
      </c>
      <c r="G285" s="344" t="s">
        <v>169</v>
      </c>
      <c r="H285" s="289">
        <v>7</v>
      </c>
      <c r="I285" s="289">
        <f t="shared" si="326"/>
        <v>124</v>
      </c>
      <c r="L285" s="350">
        <v>176331</v>
      </c>
      <c r="M285" s="350">
        <v>0</v>
      </c>
      <c r="N285" s="350">
        <f t="shared" si="327"/>
        <v>176331</v>
      </c>
      <c r="O285" s="350">
        <f t="shared" si="328"/>
        <v>2099.1785714285716</v>
      </c>
      <c r="P285" s="350">
        <f t="shared" si="329"/>
        <v>25190.142857142859</v>
      </c>
      <c r="Q285" s="350">
        <f t="shared" si="330"/>
        <v>0</v>
      </c>
      <c r="R285" s="350">
        <f t="shared" si="331"/>
        <v>25190.142857142859</v>
      </c>
      <c r="S285" s="352">
        <f>+'WP-11 - Non-Regulated'!$K$40</f>
        <v>0.5539209822239638</v>
      </c>
      <c r="T285" s="350">
        <f t="shared" si="332"/>
        <v>13953.348673790539</v>
      </c>
      <c r="U285" s="350">
        <f t="shared" si="333"/>
        <v>138545.78571428571</v>
      </c>
      <c r="V285" s="350">
        <f t="shared" si="334"/>
        <v>76743.417705847954</v>
      </c>
      <c r="W285" s="352">
        <v>1</v>
      </c>
      <c r="X285" s="350">
        <f t="shared" si="335"/>
        <v>76743.417705847954</v>
      </c>
      <c r="Y285" s="350">
        <f t="shared" si="336"/>
        <v>90696.766379638488</v>
      </c>
      <c r="Z285" s="350">
        <f t="shared" si="337"/>
        <v>6976.6743368952639</v>
      </c>
      <c r="AA285" s="350">
        <f t="shared" si="338"/>
        <v>117.5</v>
      </c>
      <c r="AB285" s="350">
        <f t="shared" si="19"/>
        <v>124</v>
      </c>
      <c r="AC285" s="350">
        <f t="shared" si="339"/>
        <v>124.5</v>
      </c>
      <c r="AD285" s="350">
        <f t="shared" si="20"/>
        <v>123</v>
      </c>
      <c r="AE285" s="350">
        <f t="shared" si="340"/>
        <v>-8.3333333333333329E-2</v>
      </c>
      <c r="AF285" s="350">
        <f t="shared" si="341"/>
        <v>85634.233620361512</v>
      </c>
    </row>
    <row r="286" spans="2:32">
      <c r="B286" s="289" t="s">
        <v>622</v>
      </c>
      <c r="C286" s="289">
        <v>2018</v>
      </c>
      <c r="D286" s="289">
        <f t="shared" si="325"/>
        <v>118</v>
      </c>
      <c r="E286" s="289">
        <v>4</v>
      </c>
      <c r="F286" s="351">
        <v>0</v>
      </c>
      <c r="G286" s="344" t="s">
        <v>169</v>
      </c>
      <c r="H286" s="289">
        <v>7</v>
      </c>
      <c r="I286" s="289">
        <f t="shared" si="326"/>
        <v>125</v>
      </c>
      <c r="L286" s="350">
        <v>277712</v>
      </c>
      <c r="M286" s="350">
        <v>0</v>
      </c>
      <c r="N286" s="350">
        <f t="shared" si="327"/>
        <v>277712</v>
      </c>
      <c r="O286" s="350">
        <f t="shared" si="328"/>
        <v>3306.0952380952381</v>
      </c>
      <c r="P286" s="350">
        <f t="shared" si="329"/>
        <v>39673.142857142855</v>
      </c>
      <c r="Q286" s="350">
        <f t="shared" si="330"/>
        <v>0</v>
      </c>
      <c r="R286" s="350">
        <f t="shared" si="331"/>
        <v>39673.142857142855</v>
      </c>
      <c r="S286" s="352">
        <f>+'WP-11 - Non-Regulated'!$K$40</f>
        <v>0.5539209822239638</v>
      </c>
      <c r="T286" s="350">
        <f t="shared" si="332"/>
        <v>21975.786259340202</v>
      </c>
      <c r="U286" s="350">
        <f t="shared" si="333"/>
        <v>188447.42857142858</v>
      </c>
      <c r="V286" s="350">
        <f t="shared" si="334"/>
        <v>104384.98473186597</v>
      </c>
      <c r="W286" s="352">
        <v>1</v>
      </c>
      <c r="X286" s="350">
        <f t="shared" si="335"/>
        <v>104384.98473186597</v>
      </c>
      <c r="Y286" s="350">
        <f t="shared" si="336"/>
        <v>126360.77099120617</v>
      </c>
      <c r="Z286" s="350">
        <f t="shared" si="337"/>
        <v>27469.732824175262</v>
      </c>
      <c r="AA286" s="350">
        <f t="shared" si="338"/>
        <v>118.25</v>
      </c>
      <c r="AB286" s="350">
        <f t="shared" si="19"/>
        <v>124</v>
      </c>
      <c r="AC286" s="350">
        <f t="shared" si="339"/>
        <v>125.25</v>
      </c>
      <c r="AD286" s="350">
        <f t="shared" si="20"/>
        <v>123</v>
      </c>
      <c r="AE286" s="350">
        <f t="shared" si="340"/>
        <v>-8.3333333333333329E-2</v>
      </c>
      <c r="AF286" s="350">
        <f t="shared" si="341"/>
        <v>134869.38931428865</v>
      </c>
    </row>
    <row r="287" spans="2:32">
      <c r="B287" s="289" t="s">
        <v>621</v>
      </c>
      <c r="C287" s="289">
        <v>2018</v>
      </c>
      <c r="D287" s="289">
        <f t="shared" si="325"/>
        <v>118</v>
      </c>
      <c r="E287" s="289">
        <v>4</v>
      </c>
      <c r="F287" s="351">
        <v>0</v>
      </c>
      <c r="G287" s="344" t="s">
        <v>169</v>
      </c>
      <c r="H287" s="289">
        <v>7</v>
      </c>
      <c r="I287" s="289">
        <f t="shared" si="326"/>
        <v>125</v>
      </c>
      <c r="L287" s="350">
        <v>277712</v>
      </c>
      <c r="M287" s="350">
        <v>0</v>
      </c>
      <c r="N287" s="350">
        <f t="shared" si="327"/>
        <v>277712</v>
      </c>
      <c r="O287" s="350">
        <f t="shared" si="328"/>
        <v>3306.0952380952381</v>
      </c>
      <c r="P287" s="350">
        <f t="shared" si="329"/>
        <v>39673.142857142855</v>
      </c>
      <c r="Q287" s="350">
        <f t="shared" si="330"/>
        <v>0</v>
      </c>
      <c r="R287" s="350">
        <f t="shared" si="331"/>
        <v>39673.142857142855</v>
      </c>
      <c r="S287" s="352">
        <f>+'WP-11 - Non-Regulated'!$K$40</f>
        <v>0.5539209822239638</v>
      </c>
      <c r="T287" s="350">
        <f t="shared" si="332"/>
        <v>21975.786259340202</v>
      </c>
      <c r="U287" s="350">
        <f t="shared" si="333"/>
        <v>188447.42857142858</v>
      </c>
      <c r="V287" s="350">
        <f t="shared" si="334"/>
        <v>104384.98473186597</v>
      </c>
      <c r="W287" s="352">
        <v>1</v>
      </c>
      <c r="X287" s="350">
        <f t="shared" ref="X287:X295" si="342">V287*W287</f>
        <v>104384.98473186597</v>
      </c>
      <c r="Y287" s="350">
        <f t="shared" ref="Y287:Y295" si="343">IF(M287&gt;0,0,X287+T287*W287)*W287</f>
        <v>126360.77099120617</v>
      </c>
      <c r="Z287" s="350">
        <f t="shared" si="337"/>
        <v>27469.732824175262</v>
      </c>
      <c r="AA287" s="350">
        <f t="shared" si="338"/>
        <v>118.25</v>
      </c>
      <c r="AB287" s="350">
        <f t="shared" si="19"/>
        <v>124</v>
      </c>
      <c r="AC287" s="350">
        <f t="shared" si="339"/>
        <v>125.25</v>
      </c>
      <c r="AD287" s="350">
        <f t="shared" si="20"/>
        <v>123</v>
      </c>
      <c r="AE287" s="350">
        <f t="shared" si="340"/>
        <v>-8.3333333333333329E-2</v>
      </c>
      <c r="AF287" s="350">
        <f t="shared" si="341"/>
        <v>134869.38931428865</v>
      </c>
    </row>
    <row r="288" spans="2:32">
      <c r="B288" s="289" t="s">
        <v>620</v>
      </c>
      <c r="C288" s="289">
        <v>2019</v>
      </c>
      <c r="D288" s="289">
        <f t="shared" si="325"/>
        <v>119</v>
      </c>
      <c r="E288" s="289">
        <v>9</v>
      </c>
      <c r="F288" s="351">
        <v>0</v>
      </c>
      <c r="G288" s="344" t="s">
        <v>169</v>
      </c>
      <c r="H288" s="289">
        <v>5</v>
      </c>
      <c r="I288" s="289">
        <f t="shared" si="326"/>
        <v>124</v>
      </c>
      <c r="L288" s="350">
        <v>67450.570000000007</v>
      </c>
      <c r="M288" s="350">
        <v>0</v>
      </c>
      <c r="N288" s="350">
        <f t="shared" si="327"/>
        <v>67450.570000000007</v>
      </c>
      <c r="O288" s="350">
        <f t="shared" si="328"/>
        <v>1124.1761666666669</v>
      </c>
      <c r="P288" s="350">
        <f t="shared" si="329"/>
        <v>13490.114000000001</v>
      </c>
      <c r="Q288" s="350">
        <f t="shared" si="330"/>
        <v>0</v>
      </c>
      <c r="R288" s="350">
        <f t="shared" si="331"/>
        <v>13490.114000000001</v>
      </c>
      <c r="S288" s="352">
        <f>+S280</f>
        <v>0.45392098222396382</v>
      </c>
      <c r="T288" s="350">
        <f t="shared" si="332"/>
        <v>6123.4457971932461</v>
      </c>
      <c r="U288" s="350">
        <f t="shared" si="333"/>
        <v>44967.046666666611</v>
      </c>
      <c r="V288" s="350">
        <f t="shared" si="334"/>
        <v>20411.485990644127</v>
      </c>
      <c r="W288" s="352">
        <v>1</v>
      </c>
      <c r="X288" s="350">
        <f t="shared" si="342"/>
        <v>20411.485990644127</v>
      </c>
      <c r="Y288" s="350">
        <f t="shared" si="343"/>
        <v>26534.931787837373</v>
      </c>
      <c r="Z288" s="350">
        <f t="shared" si="337"/>
        <v>4082.2971981288583</v>
      </c>
      <c r="AA288" s="350">
        <f t="shared" si="338"/>
        <v>119.66666666666667</v>
      </c>
      <c r="AB288" s="350">
        <f t="shared" si="19"/>
        <v>124</v>
      </c>
      <c r="AC288" s="350">
        <f t="shared" si="339"/>
        <v>124.66666666666667</v>
      </c>
      <c r="AD288" s="350">
        <f t="shared" si="20"/>
        <v>123</v>
      </c>
      <c r="AE288" s="350">
        <f t="shared" si="340"/>
        <v>-8.3333333333333329E-2</v>
      </c>
      <c r="AF288" s="350">
        <f t="shared" si="341"/>
        <v>39895.063912630401</v>
      </c>
    </row>
    <row r="289" spans="2:32">
      <c r="B289" s="289" t="s">
        <v>619</v>
      </c>
      <c r="C289" s="289">
        <v>2020</v>
      </c>
      <c r="D289" s="289">
        <f t="shared" si="325"/>
        <v>120</v>
      </c>
      <c r="E289" s="289">
        <v>1</v>
      </c>
      <c r="F289" s="351">
        <v>0</v>
      </c>
      <c r="G289" s="344" t="s">
        <v>169</v>
      </c>
      <c r="H289" s="289">
        <v>7</v>
      </c>
      <c r="I289" s="289">
        <f t="shared" si="326"/>
        <v>127</v>
      </c>
      <c r="L289" s="350">
        <v>188457.11</v>
      </c>
      <c r="M289" s="350">
        <v>0</v>
      </c>
      <c r="N289" s="350">
        <f t="shared" si="327"/>
        <v>188457.11</v>
      </c>
      <c r="O289" s="350">
        <f t="shared" si="328"/>
        <v>2243.5370238095234</v>
      </c>
      <c r="P289" s="350">
        <f t="shared" si="329"/>
        <v>26922.444285714279</v>
      </c>
      <c r="Q289" s="350">
        <f t="shared" si="330"/>
        <v>0</v>
      </c>
      <c r="R289" s="350">
        <f t="shared" si="331"/>
        <v>26922.444285714279</v>
      </c>
      <c r="S289" s="352">
        <f>+'WP-11 - Non-Regulated'!$K$40</f>
        <v>0.5539209822239638</v>
      </c>
      <c r="T289" s="350">
        <f t="shared" si="332"/>
        <v>14912.906782612794</v>
      </c>
      <c r="U289" s="350">
        <f t="shared" si="333"/>
        <v>80767.332857142843</v>
      </c>
      <c r="V289" s="350">
        <f t="shared" si="334"/>
        <v>44738.720347838389</v>
      </c>
      <c r="W289" s="352">
        <v>1</v>
      </c>
      <c r="X289" s="350">
        <f t="shared" si="342"/>
        <v>44738.720347838389</v>
      </c>
      <c r="Y289" s="350">
        <f t="shared" si="343"/>
        <v>59651.627130451183</v>
      </c>
      <c r="Z289" s="350">
        <f t="shared" si="337"/>
        <v>44738.720347838404</v>
      </c>
      <c r="AA289" s="350">
        <f t="shared" si="338"/>
        <v>120</v>
      </c>
      <c r="AB289" s="350">
        <f t="shared" si="19"/>
        <v>124</v>
      </c>
      <c r="AC289" s="350">
        <f t="shared" si="339"/>
        <v>127</v>
      </c>
      <c r="AD289" s="350">
        <f t="shared" si="20"/>
        <v>123</v>
      </c>
      <c r="AE289" s="350">
        <f t="shared" si="340"/>
        <v>-8.3333333333333329E-2</v>
      </c>
      <c r="AF289" s="350">
        <f t="shared" si="341"/>
        <v>91523.2159130168</v>
      </c>
    </row>
    <row r="290" spans="2:32">
      <c r="B290" s="289" t="s">
        <v>618</v>
      </c>
      <c r="C290" s="289">
        <v>2020</v>
      </c>
      <c r="D290" s="289">
        <f t="shared" si="325"/>
        <v>120</v>
      </c>
      <c r="E290" s="289">
        <v>1</v>
      </c>
      <c r="F290" s="351">
        <v>0</v>
      </c>
      <c r="G290" s="344" t="s">
        <v>169</v>
      </c>
      <c r="H290" s="289">
        <v>7</v>
      </c>
      <c r="I290" s="289">
        <f t="shared" si="326"/>
        <v>127</v>
      </c>
      <c r="L290" s="350">
        <v>188457.11</v>
      </c>
      <c r="M290" s="350">
        <v>0</v>
      </c>
      <c r="N290" s="350">
        <f t="shared" si="327"/>
        <v>188457.11</v>
      </c>
      <c r="O290" s="350">
        <f t="shared" si="328"/>
        <v>2243.5370238095234</v>
      </c>
      <c r="P290" s="350">
        <f t="shared" si="329"/>
        <v>26922.444285714279</v>
      </c>
      <c r="Q290" s="350">
        <f t="shared" si="330"/>
        <v>0</v>
      </c>
      <c r="R290" s="350">
        <f t="shared" si="331"/>
        <v>26922.444285714279</v>
      </c>
      <c r="S290" s="352">
        <f>+'WP-11 - Non-Regulated'!$K$40</f>
        <v>0.5539209822239638</v>
      </c>
      <c r="T290" s="350">
        <f t="shared" si="332"/>
        <v>14912.906782612794</v>
      </c>
      <c r="U290" s="350">
        <f t="shared" si="333"/>
        <v>80767.332857142843</v>
      </c>
      <c r="V290" s="350">
        <f t="shared" si="334"/>
        <v>44738.720347838389</v>
      </c>
      <c r="W290" s="352">
        <v>1</v>
      </c>
      <c r="X290" s="350">
        <f t="shared" si="342"/>
        <v>44738.720347838389</v>
      </c>
      <c r="Y290" s="350">
        <f t="shared" si="343"/>
        <v>59651.627130451183</v>
      </c>
      <c r="Z290" s="350">
        <f t="shared" si="337"/>
        <v>44738.720347838404</v>
      </c>
      <c r="AA290" s="350">
        <f t="shared" si="338"/>
        <v>120</v>
      </c>
      <c r="AB290" s="350">
        <f t="shared" si="19"/>
        <v>124</v>
      </c>
      <c r="AC290" s="350">
        <f t="shared" si="339"/>
        <v>127</v>
      </c>
      <c r="AD290" s="350">
        <f t="shared" si="20"/>
        <v>123</v>
      </c>
      <c r="AE290" s="350">
        <f t="shared" si="340"/>
        <v>-8.3333333333333329E-2</v>
      </c>
      <c r="AF290" s="350">
        <f t="shared" si="341"/>
        <v>91523.2159130168</v>
      </c>
    </row>
    <row r="291" spans="2:32">
      <c r="B291" s="289" t="s">
        <v>617</v>
      </c>
      <c r="C291" s="289">
        <v>2019</v>
      </c>
      <c r="D291" s="289">
        <f t="shared" si="325"/>
        <v>119</v>
      </c>
      <c r="E291" s="289">
        <v>8</v>
      </c>
      <c r="F291" s="351">
        <v>0</v>
      </c>
      <c r="G291" s="344" t="s">
        <v>169</v>
      </c>
      <c r="H291" s="289">
        <v>5</v>
      </c>
      <c r="I291" s="289">
        <f t="shared" si="326"/>
        <v>124</v>
      </c>
      <c r="L291" s="350">
        <v>43088.15</v>
      </c>
      <c r="M291" s="350">
        <v>0</v>
      </c>
      <c r="N291" s="350">
        <f t="shared" si="327"/>
        <v>43088.15</v>
      </c>
      <c r="O291" s="350">
        <f t="shared" si="328"/>
        <v>718.13583333333338</v>
      </c>
      <c r="P291" s="350">
        <f t="shared" si="329"/>
        <v>8617.630000000001</v>
      </c>
      <c r="Q291" s="350">
        <f t="shared" si="330"/>
        <v>0</v>
      </c>
      <c r="R291" s="350">
        <f t="shared" si="331"/>
        <v>8617.630000000001</v>
      </c>
      <c r="S291" s="352">
        <f>+'WP-11 - Non-Regulated'!$K$40</f>
        <v>0.5539209822239638</v>
      </c>
      <c r="T291" s="350">
        <f t="shared" si="332"/>
        <v>4773.4860740426975</v>
      </c>
      <c r="U291" s="350">
        <f t="shared" si="333"/>
        <v>29443.569166666708</v>
      </c>
      <c r="V291" s="350">
        <f t="shared" si="334"/>
        <v>16309.410752979238</v>
      </c>
      <c r="W291" s="352">
        <v>1</v>
      </c>
      <c r="X291" s="350">
        <f t="shared" si="342"/>
        <v>16309.410752979238</v>
      </c>
      <c r="Y291" s="350">
        <f t="shared" si="343"/>
        <v>21082.896827021934</v>
      </c>
      <c r="Z291" s="350">
        <f t="shared" si="337"/>
        <v>2784.5335431915505</v>
      </c>
      <c r="AA291" s="350">
        <f t="shared" si="338"/>
        <v>119.58333333333333</v>
      </c>
      <c r="AB291" s="350">
        <f t="shared" si="19"/>
        <v>124</v>
      </c>
      <c r="AC291" s="350">
        <f t="shared" si="339"/>
        <v>124.58333333333333</v>
      </c>
      <c r="AD291" s="350">
        <f t="shared" si="20"/>
        <v>123</v>
      </c>
      <c r="AE291" s="350">
        <f t="shared" si="340"/>
        <v>-8.3333333333333329E-2</v>
      </c>
      <c r="AF291" s="350">
        <f t="shared" si="341"/>
        <v>21607.462666807864</v>
      </c>
    </row>
    <row r="292" spans="2:32">
      <c r="B292" s="289" t="s">
        <v>616</v>
      </c>
      <c r="C292" s="289">
        <v>2019</v>
      </c>
      <c r="D292" s="289">
        <f t="shared" si="325"/>
        <v>119</v>
      </c>
      <c r="E292" s="289">
        <v>9</v>
      </c>
      <c r="F292" s="351">
        <v>0</v>
      </c>
      <c r="G292" s="344" t="s">
        <v>169</v>
      </c>
      <c r="H292" s="289">
        <v>5</v>
      </c>
      <c r="I292" s="289">
        <f t="shared" si="326"/>
        <v>124</v>
      </c>
      <c r="L292" s="350">
        <v>53865.75</v>
      </c>
      <c r="M292" s="350">
        <v>0</v>
      </c>
      <c r="N292" s="350">
        <f t="shared" si="327"/>
        <v>53865.75</v>
      </c>
      <c r="O292" s="350">
        <f t="shared" si="328"/>
        <v>897.76249999999993</v>
      </c>
      <c r="P292" s="350">
        <f t="shared" si="329"/>
        <v>10773.15</v>
      </c>
      <c r="Q292" s="350">
        <f t="shared" si="330"/>
        <v>0</v>
      </c>
      <c r="R292" s="350">
        <f t="shared" si="331"/>
        <v>10773.15</v>
      </c>
      <c r="S292" s="352">
        <f>+'WP-11 - Non-Regulated'!$K$40</f>
        <v>0.5539209822239638</v>
      </c>
      <c r="T292" s="350">
        <f t="shared" si="332"/>
        <v>5967.4738296460955</v>
      </c>
      <c r="U292" s="350">
        <f t="shared" si="333"/>
        <v>35910.499999999949</v>
      </c>
      <c r="V292" s="350">
        <f t="shared" si="334"/>
        <v>19891.579432153623</v>
      </c>
      <c r="W292" s="352">
        <v>1</v>
      </c>
      <c r="X292" s="350">
        <f t="shared" si="342"/>
        <v>19891.579432153623</v>
      </c>
      <c r="Y292" s="350">
        <f t="shared" si="343"/>
        <v>25859.05326179972</v>
      </c>
      <c r="Z292" s="350">
        <f t="shared" si="337"/>
        <v>3978.315886430762</v>
      </c>
      <c r="AA292" s="350">
        <f t="shared" ref="AA292:AA323" si="344">$D292+(($E292-1)/12)</f>
        <v>119.66666666666667</v>
      </c>
      <c r="AB292" s="350">
        <f t="shared" si="19"/>
        <v>124</v>
      </c>
      <c r="AC292" s="350">
        <f t="shared" ref="AC292:AC323" si="345">$I292+(($E292-1)/12)</f>
        <v>124.66666666666667</v>
      </c>
      <c r="AD292" s="350">
        <f t="shared" si="20"/>
        <v>123</v>
      </c>
      <c r="AE292" s="350">
        <f t="shared" ref="AE292:AE323" si="346">$J292+(($K292-1)/12)</f>
        <v>-8.3333333333333329E-2</v>
      </c>
      <c r="AF292" s="350">
        <f t="shared" si="341"/>
        <v>27012.117766592564</v>
      </c>
    </row>
    <row r="293" spans="2:32">
      <c r="B293" s="289" t="s">
        <v>615</v>
      </c>
      <c r="C293" s="289">
        <v>2019</v>
      </c>
      <c r="D293" s="289">
        <f t="shared" si="325"/>
        <v>119</v>
      </c>
      <c r="E293" s="289">
        <v>3</v>
      </c>
      <c r="F293" s="351">
        <v>0</v>
      </c>
      <c r="G293" s="344" t="s">
        <v>169</v>
      </c>
      <c r="H293" s="289">
        <v>7</v>
      </c>
      <c r="I293" s="289">
        <f t="shared" si="326"/>
        <v>126</v>
      </c>
      <c r="L293" s="350">
        <v>184998</v>
      </c>
      <c r="M293" s="350">
        <v>0</v>
      </c>
      <c r="N293" s="350">
        <f t="shared" si="327"/>
        <v>184998</v>
      </c>
      <c r="O293" s="350">
        <f t="shared" si="328"/>
        <v>2202.3571428571427</v>
      </c>
      <c r="P293" s="350">
        <f t="shared" si="329"/>
        <v>26428.28571428571</v>
      </c>
      <c r="Q293" s="350">
        <f t="shared" si="330"/>
        <v>0</v>
      </c>
      <c r="R293" s="350">
        <f t="shared" si="331"/>
        <v>26428.28571428571</v>
      </c>
      <c r="S293" s="352">
        <f>+'WP-11 - Non-Regulated'!$K$40</f>
        <v>0.5539209822239638</v>
      </c>
      <c r="T293" s="350">
        <f t="shared" si="332"/>
        <v>14639.181981352691</v>
      </c>
      <c r="U293" s="350">
        <f t="shared" si="333"/>
        <v>101308.42857142843</v>
      </c>
      <c r="V293" s="350">
        <f t="shared" si="334"/>
        <v>56116.864261851915</v>
      </c>
      <c r="W293" s="352">
        <v>1</v>
      </c>
      <c r="X293" s="350">
        <f t="shared" si="342"/>
        <v>56116.864261851915</v>
      </c>
      <c r="Y293" s="350">
        <f t="shared" si="343"/>
        <v>70756.046243204604</v>
      </c>
      <c r="Z293" s="350">
        <f t="shared" si="337"/>
        <v>31718.227626264248</v>
      </c>
      <c r="AA293" s="350">
        <f t="shared" si="344"/>
        <v>119.16666666666667</v>
      </c>
      <c r="AB293" s="350">
        <f t="shared" si="19"/>
        <v>124</v>
      </c>
      <c r="AC293" s="350">
        <f t="shared" si="345"/>
        <v>126.16666666666667</v>
      </c>
      <c r="AD293" s="350">
        <f t="shared" si="20"/>
        <v>123</v>
      </c>
      <c r="AE293" s="350">
        <f t="shared" si="346"/>
        <v>-8.3333333333333329E-2</v>
      </c>
      <c r="AF293" s="350">
        <f t="shared" si="341"/>
        <v>89843.317121207481</v>
      </c>
    </row>
    <row r="294" spans="2:32">
      <c r="B294" s="289" t="s">
        <v>614</v>
      </c>
      <c r="C294" s="289">
        <v>2019</v>
      </c>
      <c r="D294" s="289">
        <f t="shared" si="325"/>
        <v>119</v>
      </c>
      <c r="E294" s="289">
        <v>2</v>
      </c>
      <c r="F294" s="351">
        <v>0</v>
      </c>
      <c r="G294" s="344" t="s">
        <v>169</v>
      </c>
      <c r="H294" s="289">
        <v>7</v>
      </c>
      <c r="I294" s="289">
        <f t="shared" si="326"/>
        <v>126</v>
      </c>
      <c r="L294" s="350">
        <v>116526</v>
      </c>
      <c r="M294" s="350">
        <v>0</v>
      </c>
      <c r="N294" s="350">
        <f t="shared" si="327"/>
        <v>116526</v>
      </c>
      <c r="O294" s="350">
        <f t="shared" si="328"/>
        <v>1387.2142857142856</v>
      </c>
      <c r="P294" s="350">
        <f t="shared" si="329"/>
        <v>16646.571428571428</v>
      </c>
      <c r="Q294" s="350">
        <f t="shared" si="330"/>
        <v>0</v>
      </c>
      <c r="R294" s="350">
        <f t="shared" si="331"/>
        <v>16646.571428571428</v>
      </c>
      <c r="S294" s="352">
        <f>+'WP-11 - Non-Regulated'!$K$40</f>
        <v>0.5539209822239638</v>
      </c>
      <c r="T294" s="350">
        <f t="shared" si="332"/>
        <v>9220.885196375657</v>
      </c>
      <c r="U294" s="350">
        <f t="shared" si="333"/>
        <v>65199.0714285715</v>
      </c>
      <c r="V294" s="350">
        <f t="shared" si="334"/>
        <v>36115.1336858047</v>
      </c>
      <c r="W294" s="352">
        <v>1</v>
      </c>
      <c r="X294" s="350">
        <f t="shared" si="342"/>
        <v>36115.1336858047</v>
      </c>
      <c r="Y294" s="350">
        <f t="shared" si="343"/>
        <v>45336.01888218036</v>
      </c>
      <c r="Z294" s="350">
        <f t="shared" si="337"/>
        <v>19210.177492449249</v>
      </c>
      <c r="AA294" s="350">
        <f t="shared" si="344"/>
        <v>119.08333333333333</v>
      </c>
      <c r="AB294" s="350">
        <f t="shared" si="19"/>
        <v>124</v>
      </c>
      <c r="AC294" s="350">
        <f t="shared" si="345"/>
        <v>126.08333333333333</v>
      </c>
      <c r="AD294" s="350">
        <f t="shared" si="20"/>
        <v>123</v>
      </c>
      <c r="AE294" s="350">
        <f t="shared" si="346"/>
        <v>-8.3333333333333329E-2</v>
      </c>
      <c r="AF294" s="350">
        <f t="shared" si="341"/>
        <v>56590.246223558221</v>
      </c>
    </row>
    <row r="295" spans="2:32">
      <c r="B295" s="289" t="s">
        <v>613</v>
      </c>
      <c r="C295" s="289">
        <v>2020</v>
      </c>
      <c r="D295" s="289">
        <f t="shared" si="325"/>
        <v>120</v>
      </c>
      <c r="E295" s="289">
        <v>1</v>
      </c>
      <c r="F295" s="351">
        <v>0</v>
      </c>
      <c r="G295" s="344" t="s">
        <v>169</v>
      </c>
      <c r="H295" s="289">
        <v>7</v>
      </c>
      <c r="I295" s="289">
        <f t="shared" si="326"/>
        <v>127</v>
      </c>
      <c r="L295" s="350">
        <v>138679.09</v>
      </c>
      <c r="M295" s="350">
        <v>0</v>
      </c>
      <c r="N295" s="350">
        <f t="shared" si="327"/>
        <v>138679.09</v>
      </c>
      <c r="O295" s="350">
        <f t="shared" si="328"/>
        <v>1650.9415476190477</v>
      </c>
      <c r="P295" s="350">
        <f t="shared" si="329"/>
        <v>19811.298571428571</v>
      </c>
      <c r="Q295" s="350">
        <f t="shared" si="330"/>
        <v>0</v>
      </c>
      <c r="R295" s="350">
        <f t="shared" si="331"/>
        <v>19811.298571428571</v>
      </c>
      <c r="S295" s="352">
        <f>+'WP-11 - Non-Regulated'!$K$40</f>
        <v>0.5539209822239638</v>
      </c>
      <c r="T295" s="350">
        <f t="shared" si="332"/>
        <v>10973.893963817925</v>
      </c>
      <c r="U295" s="350">
        <f t="shared" si="333"/>
        <v>59433.895714285718</v>
      </c>
      <c r="V295" s="350">
        <f t="shared" si="334"/>
        <v>32921.68189145378</v>
      </c>
      <c r="W295" s="352">
        <v>1</v>
      </c>
      <c r="X295" s="350">
        <f t="shared" si="342"/>
        <v>32921.68189145378</v>
      </c>
      <c r="Y295" s="350">
        <f t="shared" si="343"/>
        <v>43895.575855271702</v>
      </c>
      <c r="Z295" s="350">
        <f t="shared" si="337"/>
        <v>32921.681891453773</v>
      </c>
      <c r="AA295" s="350">
        <f t="shared" si="344"/>
        <v>120</v>
      </c>
      <c r="AB295" s="350">
        <f t="shared" si="19"/>
        <v>124</v>
      </c>
      <c r="AC295" s="350">
        <f t="shared" si="345"/>
        <v>127</v>
      </c>
      <c r="AD295" s="350">
        <f t="shared" si="20"/>
        <v>123</v>
      </c>
      <c r="AE295" s="350">
        <f t="shared" si="346"/>
        <v>-8.3333333333333329E-2</v>
      </c>
      <c r="AF295" s="350">
        <f t="shared" si="341"/>
        <v>67348.77923518348</v>
      </c>
    </row>
    <row r="296" spans="2:32">
      <c r="B296" s="289" t="s">
        <v>612</v>
      </c>
      <c r="C296" s="289">
        <v>2020</v>
      </c>
      <c r="D296" s="289">
        <f t="shared" si="325"/>
        <v>120</v>
      </c>
      <c r="E296" s="289">
        <v>1</v>
      </c>
      <c r="F296" s="351">
        <v>0</v>
      </c>
      <c r="G296" s="344" t="s">
        <v>169</v>
      </c>
      <c r="H296" s="289">
        <v>7</v>
      </c>
      <c r="I296" s="289">
        <f t="shared" si="326"/>
        <v>127</v>
      </c>
      <c r="L296" s="350">
        <v>138679.09</v>
      </c>
      <c r="M296" s="350">
        <v>0</v>
      </c>
      <c r="N296" s="350">
        <f t="shared" si="327"/>
        <v>138679.09</v>
      </c>
      <c r="O296" s="350">
        <f t="shared" si="328"/>
        <v>1650.9415476190477</v>
      </c>
      <c r="P296" s="350">
        <f t="shared" si="329"/>
        <v>19811.298571428571</v>
      </c>
      <c r="Q296" s="350">
        <f t="shared" si="330"/>
        <v>0</v>
      </c>
      <c r="R296" s="350">
        <f t="shared" si="331"/>
        <v>19811.298571428571</v>
      </c>
      <c r="S296" s="352">
        <f>+'WP-11 - Non-Regulated'!$K$40</f>
        <v>0.5539209822239638</v>
      </c>
      <c r="T296" s="350">
        <f t="shared" si="332"/>
        <v>10973.893963817925</v>
      </c>
      <c r="U296" s="350">
        <f t="shared" si="333"/>
        <v>59433.895714285718</v>
      </c>
      <c r="V296" s="350">
        <f t="shared" si="334"/>
        <v>32921.68189145378</v>
      </c>
      <c r="W296" s="352">
        <v>1</v>
      </c>
      <c r="X296" s="350">
        <f t="shared" ref="X296:X307" si="347">V296*W296</f>
        <v>32921.68189145378</v>
      </c>
      <c r="Y296" s="350">
        <f t="shared" ref="Y296:Y307" si="348">IF(M296&gt;0,0,X296+T296*W296)*W296</f>
        <v>43895.575855271702</v>
      </c>
      <c r="Z296" s="350">
        <f t="shared" si="337"/>
        <v>32921.681891453773</v>
      </c>
      <c r="AA296" s="350">
        <f t="shared" si="344"/>
        <v>120</v>
      </c>
      <c r="AB296" s="350">
        <f t="shared" si="19"/>
        <v>124</v>
      </c>
      <c r="AC296" s="350">
        <f t="shared" si="345"/>
        <v>127</v>
      </c>
      <c r="AD296" s="350">
        <f t="shared" si="20"/>
        <v>123</v>
      </c>
      <c r="AE296" s="350">
        <f t="shared" si="346"/>
        <v>-8.3333333333333329E-2</v>
      </c>
      <c r="AF296" s="350">
        <f t="shared" si="341"/>
        <v>67348.77923518348</v>
      </c>
    </row>
    <row r="297" spans="2:32">
      <c r="B297" s="289" t="s">
        <v>611</v>
      </c>
      <c r="C297" s="289">
        <v>2020</v>
      </c>
      <c r="D297" s="289">
        <f t="shared" si="325"/>
        <v>120</v>
      </c>
      <c r="E297" s="289">
        <v>1</v>
      </c>
      <c r="F297" s="351">
        <v>0</v>
      </c>
      <c r="G297" s="344" t="s">
        <v>169</v>
      </c>
      <c r="H297" s="289">
        <v>7</v>
      </c>
      <c r="I297" s="289">
        <f t="shared" si="326"/>
        <v>127</v>
      </c>
      <c r="L297" s="350">
        <v>188427.06</v>
      </c>
      <c r="M297" s="350">
        <v>0</v>
      </c>
      <c r="N297" s="350">
        <f t="shared" si="327"/>
        <v>188427.06</v>
      </c>
      <c r="O297" s="350">
        <f t="shared" si="328"/>
        <v>2243.1792857142859</v>
      </c>
      <c r="P297" s="350">
        <f t="shared" si="329"/>
        <v>26918.151428571429</v>
      </c>
      <c r="Q297" s="350">
        <f t="shared" si="330"/>
        <v>0</v>
      </c>
      <c r="R297" s="350">
        <f t="shared" si="331"/>
        <v>26918.151428571429</v>
      </c>
      <c r="S297" s="352">
        <f>+'WP-11 - Non-Regulated'!$K$40</f>
        <v>0.5539209822239638</v>
      </c>
      <c r="T297" s="350">
        <f t="shared" si="332"/>
        <v>14910.52887896768</v>
      </c>
      <c r="U297" s="350">
        <f t="shared" si="333"/>
        <v>80754.454285714295</v>
      </c>
      <c r="V297" s="350">
        <f t="shared" si="334"/>
        <v>44731.586636903048</v>
      </c>
      <c r="W297" s="352">
        <v>1</v>
      </c>
      <c r="X297" s="350">
        <f t="shared" si="347"/>
        <v>44731.586636903048</v>
      </c>
      <c r="Y297" s="350">
        <f t="shared" si="348"/>
        <v>59642.115515870726</v>
      </c>
      <c r="Z297" s="350">
        <f t="shared" si="337"/>
        <v>44731.586636903034</v>
      </c>
      <c r="AA297" s="350">
        <f t="shared" si="344"/>
        <v>120</v>
      </c>
      <c r="AB297" s="350">
        <f t="shared" si="19"/>
        <v>124</v>
      </c>
      <c r="AC297" s="350">
        <f t="shared" si="345"/>
        <v>127</v>
      </c>
      <c r="AD297" s="350">
        <f t="shared" si="20"/>
        <v>123</v>
      </c>
      <c r="AE297" s="350">
        <f t="shared" si="346"/>
        <v>-8.3333333333333329E-2</v>
      </c>
      <c r="AF297" s="350">
        <f t="shared" si="341"/>
        <v>91508.622286710102</v>
      </c>
    </row>
    <row r="298" spans="2:32">
      <c r="B298" s="289" t="s">
        <v>610</v>
      </c>
      <c r="C298" s="289">
        <v>2020</v>
      </c>
      <c r="D298" s="289">
        <f t="shared" si="325"/>
        <v>120</v>
      </c>
      <c r="E298" s="289">
        <v>1</v>
      </c>
      <c r="F298" s="351">
        <v>0</v>
      </c>
      <c r="G298" s="344" t="s">
        <v>169</v>
      </c>
      <c r="H298" s="289">
        <v>7</v>
      </c>
      <c r="I298" s="289">
        <f t="shared" si="326"/>
        <v>127</v>
      </c>
      <c r="L298" s="350">
        <v>126801.06</v>
      </c>
      <c r="M298" s="350">
        <v>0</v>
      </c>
      <c r="N298" s="350">
        <f t="shared" si="327"/>
        <v>126801.06</v>
      </c>
      <c r="O298" s="350">
        <f t="shared" si="328"/>
        <v>1509.5364285714286</v>
      </c>
      <c r="P298" s="350">
        <f t="shared" si="329"/>
        <v>18114.437142857143</v>
      </c>
      <c r="Q298" s="350">
        <f t="shared" si="330"/>
        <v>0</v>
      </c>
      <c r="R298" s="350">
        <f t="shared" si="331"/>
        <v>18114.437142857143</v>
      </c>
      <c r="S298" s="352">
        <f>+'WP-11 - Non-Regulated'!$K$40</f>
        <v>0.5539209822239638</v>
      </c>
      <c r="T298" s="350">
        <f t="shared" si="332"/>
        <v>10033.966814605681</v>
      </c>
      <c r="U298" s="350">
        <f t="shared" si="333"/>
        <v>54343.311428571425</v>
      </c>
      <c r="V298" s="350">
        <f t="shared" si="334"/>
        <v>30101.900443817041</v>
      </c>
      <c r="W298" s="352">
        <v>1</v>
      </c>
      <c r="X298" s="350">
        <f t="shared" si="347"/>
        <v>30101.900443817041</v>
      </c>
      <c r="Y298" s="350">
        <f t="shared" si="348"/>
        <v>40135.867258422724</v>
      </c>
      <c r="Z298" s="350">
        <f t="shared" si="337"/>
        <v>30101.900443817041</v>
      </c>
      <c r="AA298" s="350">
        <f t="shared" si="344"/>
        <v>120</v>
      </c>
      <c r="AB298" s="350">
        <f t="shared" si="19"/>
        <v>124</v>
      </c>
      <c r="AC298" s="350">
        <f t="shared" si="345"/>
        <v>127</v>
      </c>
      <c r="AD298" s="350">
        <f t="shared" si="20"/>
        <v>123</v>
      </c>
      <c r="AE298" s="350">
        <f t="shared" si="346"/>
        <v>-8.3333333333333329E-2</v>
      </c>
      <c r="AF298" s="350">
        <f t="shared" si="341"/>
        <v>61580.275705063075</v>
      </c>
    </row>
    <row r="299" spans="2:32">
      <c r="B299" s="289" t="s">
        <v>609</v>
      </c>
      <c r="C299" s="289">
        <v>2020</v>
      </c>
      <c r="D299" s="289">
        <f t="shared" si="325"/>
        <v>120</v>
      </c>
      <c r="E299" s="289">
        <v>1</v>
      </c>
      <c r="F299" s="351">
        <v>0</v>
      </c>
      <c r="G299" s="344" t="s">
        <v>169</v>
      </c>
      <c r="H299" s="289">
        <v>7</v>
      </c>
      <c r="I299" s="289">
        <f t="shared" si="326"/>
        <v>127</v>
      </c>
      <c r="L299" s="350">
        <v>159079.18</v>
      </c>
      <c r="M299" s="350">
        <v>0</v>
      </c>
      <c r="N299" s="350">
        <f t="shared" si="327"/>
        <v>159079.18</v>
      </c>
      <c r="O299" s="350">
        <f t="shared" si="328"/>
        <v>1893.7997619047619</v>
      </c>
      <c r="P299" s="350">
        <f t="shared" si="329"/>
        <v>22725.597142857143</v>
      </c>
      <c r="Q299" s="350">
        <f t="shared" si="330"/>
        <v>0</v>
      </c>
      <c r="R299" s="350">
        <f t="shared" si="331"/>
        <v>22725.597142857143</v>
      </c>
      <c r="S299" s="352">
        <f>+S288</f>
        <v>0.45392098222396382</v>
      </c>
      <c r="T299" s="350">
        <f t="shared" si="332"/>
        <v>10315.62537671182</v>
      </c>
      <c r="U299" s="350">
        <f t="shared" si="333"/>
        <v>68176.791428571421</v>
      </c>
      <c r="V299" s="350">
        <f t="shared" si="334"/>
        <v>30946.876130135457</v>
      </c>
      <c r="W299" s="352">
        <v>1</v>
      </c>
      <c r="X299" s="350">
        <f t="shared" si="347"/>
        <v>30946.876130135457</v>
      </c>
      <c r="Y299" s="350">
        <f t="shared" si="348"/>
        <v>41262.501506847279</v>
      </c>
      <c r="Z299" s="350">
        <f t="shared" si="337"/>
        <v>30946.876130135457</v>
      </c>
      <c r="AA299" s="350">
        <f t="shared" si="344"/>
        <v>120</v>
      </c>
      <c r="AB299" s="350">
        <f t="shared" si="19"/>
        <v>124</v>
      </c>
      <c r="AC299" s="350">
        <f t="shared" si="345"/>
        <v>127</v>
      </c>
      <c r="AD299" s="350">
        <f t="shared" si="20"/>
        <v>123</v>
      </c>
      <c r="AE299" s="350">
        <f t="shared" si="346"/>
        <v>-8.3333333333333329E-2</v>
      </c>
      <c r="AF299" s="350">
        <f t="shared" si="341"/>
        <v>92027.61505137317</v>
      </c>
    </row>
    <row r="300" spans="2:32">
      <c r="B300" s="289" t="s">
        <v>608</v>
      </c>
      <c r="C300" s="289">
        <v>2020</v>
      </c>
      <c r="D300" s="289">
        <f t="shared" si="325"/>
        <v>120</v>
      </c>
      <c r="E300" s="289">
        <v>1</v>
      </c>
      <c r="F300" s="351">
        <v>0</v>
      </c>
      <c r="G300" s="344" t="s">
        <v>169</v>
      </c>
      <c r="H300" s="289">
        <v>7</v>
      </c>
      <c r="I300" s="289">
        <f t="shared" si="326"/>
        <v>127</v>
      </c>
      <c r="L300" s="350">
        <v>72023.89</v>
      </c>
      <c r="M300" s="350">
        <v>0</v>
      </c>
      <c r="N300" s="350">
        <f t="shared" si="327"/>
        <v>72023.89</v>
      </c>
      <c r="O300" s="350">
        <f t="shared" si="328"/>
        <v>857.42726190476196</v>
      </c>
      <c r="P300" s="350">
        <f t="shared" si="329"/>
        <v>10289.127142857144</v>
      </c>
      <c r="Q300" s="350">
        <f t="shared" si="330"/>
        <v>0</v>
      </c>
      <c r="R300" s="350">
        <f t="shared" si="331"/>
        <v>10289.127142857144</v>
      </c>
      <c r="S300" s="352">
        <f>+S299</f>
        <v>0.45392098222396382</v>
      </c>
      <c r="T300" s="350">
        <f t="shared" si="332"/>
        <v>4670.4506989129613</v>
      </c>
      <c r="U300" s="350">
        <f t="shared" si="333"/>
        <v>30867.381428571432</v>
      </c>
      <c r="V300" s="350">
        <f t="shared" si="334"/>
        <v>14011.352096738885</v>
      </c>
      <c r="W300" s="352">
        <v>1</v>
      </c>
      <c r="X300" s="350">
        <f t="shared" si="347"/>
        <v>14011.352096738885</v>
      </c>
      <c r="Y300" s="350">
        <f t="shared" si="348"/>
        <v>18681.802795651845</v>
      </c>
      <c r="Z300" s="350">
        <f t="shared" si="337"/>
        <v>14011.352096738881</v>
      </c>
      <c r="AA300" s="350">
        <f t="shared" si="344"/>
        <v>120</v>
      </c>
      <c r="AB300" s="350">
        <f t="shared" si="19"/>
        <v>124</v>
      </c>
      <c r="AC300" s="350">
        <f t="shared" si="345"/>
        <v>127</v>
      </c>
      <c r="AD300" s="350">
        <f t="shared" si="20"/>
        <v>123</v>
      </c>
      <c r="AE300" s="350">
        <f t="shared" si="346"/>
        <v>-8.3333333333333329E-2</v>
      </c>
      <c r="AF300" s="350">
        <f t="shared" si="341"/>
        <v>41665.960457065747</v>
      </c>
    </row>
    <row r="301" spans="2:32">
      <c r="B301" s="289" t="s">
        <v>607</v>
      </c>
      <c r="C301" s="289">
        <v>2020</v>
      </c>
      <c r="D301" s="289">
        <f t="shared" si="325"/>
        <v>120</v>
      </c>
      <c r="E301" s="289">
        <v>3</v>
      </c>
      <c r="F301" s="351">
        <v>0</v>
      </c>
      <c r="G301" s="344" t="s">
        <v>169</v>
      </c>
      <c r="H301" s="289">
        <v>7</v>
      </c>
      <c r="I301" s="289">
        <f t="shared" si="326"/>
        <v>127</v>
      </c>
      <c r="L301" s="350">
        <v>65184.55</v>
      </c>
      <c r="M301" s="350">
        <v>0</v>
      </c>
      <c r="N301" s="350">
        <f t="shared" si="327"/>
        <v>65184.55</v>
      </c>
      <c r="O301" s="350">
        <f t="shared" si="328"/>
        <v>776.00654761904764</v>
      </c>
      <c r="P301" s="350">
        <f t="shared" si="329"/>
        <v>9312.0785714285721</v>
      </c>
      <c r="Q301" s="350">
        <f t="shared" si="330"/>
        <v>0</v>
      </c>
      <c r="R301" s="350">
        <f t="shared" si="331"/>
        <v>9312.0785714285721</v>
      </c>
      <c r="S301" s="352">
        <f>+S300</f>
        <v>0.45392098222396382</v>
      </c>
      <c r="T301" s="350">
        <f t="shared" si="332"/>
        <v>4226.9478516895833</v>
      </c>
      <c r="U301" s="350">
        <f t="shared" si="333"/>
        <v>26384.222619047574</v>
      </c>
      <c r="V301" s="350">
        <f t="shared" si="334"/>
        <v>11976.352246453798</v>
      </c>
      <c r="W301" s="352">
        <v>1</v>
      </c>
      <c r="X301" s="350">
        <f t="shared" si="347"/>
        <v>11976.352246453798</v>
      </c>
      <c r="Y301" s="350">
        <f t="shared" si="348"/>
        <v>16203.300098143382</v>
      </c>
      <c r="Z301" s="350">
        <f t="shared" si="337"/>
        <v>13385.334863683702</v>
      </c>
      <c r="AA301" s="350">
        <f t="shared" si="344"/>
        <v>120.16666666666667</v>
      </c>
      <c r="AB301" s="350">
        <f t="shared" si="19"/>
        <v>124</v>
      </c>
      <c r="AC301" s="350">
        <f t="shared" si="345"/>
        <v>127.16666666666667</v>
      </c>
      <c r="AD301" s="350">
        <f t="shared" si="20"/>
        <v>123</v>
      </c>
      <c r="AE301" s="350">
        <f t="shared" si="346"/>
        <v>-8.3333333333333329E-2</v>
      </c>
      <c r="AF301" s="350">
        <f t="shared" si="341"/>
        <v>37709.388964017708</v>
      </c>
    </row>
    <row r="302" spans="2:32">
      <c r="B302" s="289" t="s">
        <v>606</v>
      </c>
      <c r="C302" s="289">
        <v>2020</v>
      </c>
      <c r="D302" s="289">
        <f t="shared" si="325"/>
        <v>120</v>
      </c>
      <c r="E302" s="289">
        <v>10</v>
      </c>
      <c r="F302" s="351">
        <v>0</v>
      </c>
      <c r="G302" s="344" t="s">
        <v>169</v>
      </c>
      <c r="H302" s="289">
        <v>5</v>
      </c>
      <c r="I302" s="289">
        <f t="shared" si="326"/>
        <v>125</v>
      </c>
      <c r="L302" s="350">
        <v>78827.460000000006</v>
      </c>
      <c r="M302" s="350">
        <v>0</v>
      </c>
      <c r="N302" s="350">
        <f t="shared" si="327"/>
        <v>78827.460000000006</v>
      </c>
      <c r="O302" s="350">
        <f t="shared" si="328"/>
        <v>1313.7910000000002</v>
      </c>
      <c r="P302" s="350">
        <f t="shared" si="329"/>
        <v>15765.492000000002</v>
      </c>
      <c r="Q302" s="350">
        <f t="shared" si="330"/>
        <v>0</v>
      </c>
      <c r="R302" s="350">
        <f t="shared" si="331"/>
        <v>15765.492000000002</v>
      </c>
      <c r="S302" s="352">
        <f>+'WP-11 - Non-Regulated'!$K$40</f>
        <v>0.5539209822239638</v>
      </c>
      <c r="T302" s="350">
        <f t="shared" si="332"/>
        <v>8732.8368138840451</v>
      </c>
      <c r="U302" s="350">
        <f t="shared" si="333"/>
        <v>35472.357000000004</v>
      </c>
      <c r="V302" s="350">
        <f t="shared" si="334"/>
        <v>19648.882831239102</v>
      </c>
      <c r="W302" s="352">
        <v>1</v>
      </c>
      <c r="X302" s="350">
        <f t="shared" si="347"/>
        <v>19648.882831239102</v>
      </c>
      <c r="Y302" s="350">
        <f t="shared" si="348"/>
        <v>28381.719645123147</v>
      </c>
      <c r="Z302" s="350">
        <f t="shared" si="337"/>
        <v>15282.464424297075</v>
      </c>
      <c r="AA302" s="350">
        <f t="shared" si="344"/>
        <v>120.75</v>
      </c>
      <c r="AB302" s="350">
        <f t="shared" si="19"/>
        <v>124</v>
      </c>
      <c r="AC302" s="350">
        <f t="shared" si="345"/>
        <v>125.75</v>
      </c>
      <c r="AD302" s="350">
        <f t="shared" si="20"/>
        <v>123</v>
      </c>
      <c r="AE302" s="350">
        <f t="shared" si="346"/>
        <v>-8.3333333333333329E-2</v>
      </c>
      <c r="AF302" s="350">
        <f t="shared" si="341"/>
        <v>39529.694337521803</v>
      </c>
    </row>
    <row r="303" spans="2:32">
      <c r="B303" s="289" t="s">
        <v>605</v>
      </c>
      <c r="C303" s="289">
        <v>2020</v>
      </c>
      <c r="D303" s="289">
        <f t="shared" si="325"/>
        <v>120</v>
      </c>
      <c r="E303" s="289">
        <v>10</v>
      </c>
      <c r="F303" s="351">
        <v>0</v>
      </c>
      <c r="G303" s="344" t="s">
        <v>169</v>
      </c>
      <c r="H303" s="289">
        <v>5</v>
      </c>
      <c r="I303" s="289">
        <f t="shared" si="326"/>
        <v>125</v>
      </c>
      <c r="L303" s="350">
        <v>52837.78</v>
      </c>
      <c r="M303" s="350">
        <v>0</v>
      </c>
      <c r="N303" s="350">
        <f t="shared" si="327"/>
        <v>52837.78</v>
      </c>
      <c r="O303" s="350">
        <f t="shared" si="328"/>
        <v>880.62966666666671</v>
      </c>
      <c r="P303" s="350">
        <f t="shared" si="329"/>
        <v>10567.556</v>
      </c>
      <c r="Q303" s="350">
        <f t="shared" si="330"/>
        <v>0</v>
      </c>
      <c r="R303" s="350">
        <f t="shared" si="331"/>
        <v>10567.556</v>
      </c>
      <c r="S303" s="352">
        <f>+'WP-11 - Non-Regulated'!$K$40</f>
        <v>0.5539209822239638</v>
      </c>
      <c r="T303" s="350">
        <f t="shared" si="332"/>
        <v>5853.5909992267425</v>
      </c>
      <c r="U303" s="350">
        <f t="shared" si="333"/>
        <v>23777.001</v>
      </c>
      <c r="V303" s="350">
        <f t="shared" si="334"/>
        <v>13170.57974826017</v>
      </c>
      <c r="W303" s="352">
        <v>1</v>
      </c>
      <c r="X303" s="350">
        <f t="shared" si="347"/>
        <v>13170.57974826017</v>
      </c>
      <c r="Y303" s="350">
        <f t="shared" si="348"/>
        <v>19024.170747486911</v>
      </c>
      <c r="Z303" s="350">
        <f t="shared" si="337"/>
        <v>10243.784248646798</v>
      </c>
      <c r="AA303" s="350">
        <f t="shared" si="344"/>
        <v>120.75</v>
      </c>
      <c r="AB303" s="350">
        <f t="shared" si="19"/>
        <v>124</v>
      </c>
      <c r="AC303" s="350">
        <f t="shared" si="345"/>
        <v>125.75</v>
      </c>
      <c r="AD303" s="350">
        <f t="shared" si="20"/>
        <v>123</v>
      </c>
      <c r="AE303" s="350">
        <f t="shared" si="346"/>
        <v>-8.3333333333333329E-2</v>
      </c>
      <c r="AF303" s="350">
        <f t="shared" si="341"/>
        <v>26496.620503479659</v>
      </c>
    </row>
    <row r="304" spans="2:32">
      <c r="B304" s="289" t="s">
        <v>604</v>
      </c>
      <c r="C304" s="289">
        <v>2020</v>
      </c>
      <c r="D304" s="289">
        <f t="shared" si="325"/>
        <v>120</v>
      </c>
      <c r="E304" s="289">
        <v>1</v>
      </c>
      <c r="F304" s="351">
        <v>0</v>
      </c>
      <c r="G304" s="344" t="s">
        <v>169</v>
      </c>
      <c r="H304" s="289">
        <v>7</v>
      </c>
      <c r="I304" s="289">
        <f t="shared" si="326"/>
        <v>127</v>
      </c>
      <c r="L304" s="350">
        <v>156565.64000000001</v>
      </c>
      <c r="M304" s="350">
        <v>0</v>
      </c>
      <c r="N304" s="350">
        <f t="shared" si="327"/>
        <v>156565.64000000001</v>
      </c>
      <c r="O304" s="350">
        <f t="shared" si="328"/>
        <v>1863.8766666666668</v>
      </c>
      <c r="P304" s="350">
        <f t="shared" si="329"/>
        <v>22366.52</v>
      </c>
      <c r="Q304" s="350">
        <f t="shared" si="330"/>
        <v>0</v>
      </c>
      <c r="R304" s="350">
        <f t="shared" si="331"/>
        <v>22366.52</v>
      </c>
      <c r="S304" s="352">
        <f>+'WP-11 - Non-Regulated'!$K$40</f>
        <v>0.5539209822239638</v>
      </c>
      <c r="T304" s="350">
        <f t="shared" si="332"/>
        <v>12389.284727331931</v>
      </c>
      <c r="U304" s="350">
        <f t="shared" si="333"/>
        <v>67099.56</v>
      </c>
      <c r="V304" s="350">
        <f t="shared" si="334"/>
        <v>37167.85418199579</v>
      </c>
      <c r="W304" s="352">
        <v>1</v>
      </c>
      <c r="X304" s="350">
        <f t="shared" si="347"/>
        <v>37167.85418199579</v>
      </c>
      <c r="Y304" s="350">
        <f t="shared" si="348"/>
        <v>49557.138909327725</v>
      </c>
      <c r="Z304" s="350">
        <f t="shared" si="337"/>
        <v>37167.854181995797</v>
      </c>
      <c r="AA304" s="350">
        <f t="shared" si="344"/>
        <v>120</v>
      </c>
      <c r="AB304" s="350">
        <f t="shared" si="19"/>
        <v>124</v>
      </c>
      <c r="AC304" s="350">
        <f t="shared" si="345"/>
        <v>127</v>
      </c>
      <c r="AD304" s="350">
        <f t="shared" si="20"/>
        <v>123</v>
      </c>
      <c r="AE304" s="350">
        <f t="shared" si="346"/>
        <v>-8.3333333333333329E-2</v>
      </c>
      <c r="AF304" s="350">
        <f t="shared" si="341"/>
        <v>76035.289272342459</v>
      </c>
    </row>
    <row r="305" spans="2:35">
      <c r="B305" s="289" t="s">
        <v>603</v>
      </c>
      <c r="C305" s="289">
        <v>2020</v>
      </c>
      <c r="D305" s="289">
        <f t="shared" si="325"/>
        <v>120</v>
      </c>
      <c r="E305" s="289">
        <v>8</v>
      </c>
      <c r="F305" s="351">
        <v>0</v>
      </c>
      <c r="G305" s="344" t="s">
        <v>169</v>
      </c>
      <c r="H305" s="289">
        <v>5</v>
      </c>
      <c r="I305" s="289">
        <f t="shared" si="326"/>
        <v>125</v>
      </c>
      <c r="L305" s="350">
        <v>66006.61</v>
      </c>
      <c r="M305" s="350">
        <v>0</v>
      </c>
      <c r="N305" s="350">
        <f t="shared" si="327"/>
        <v>66006.61</v>
      </c>
      <c r="O305" s="350">
        <f t="shared" si="328"/>
        <v>1100.1101666666666</v>
      </c>
      <c r="P305" s="350">
        <f t="shared" si="329"/>
        <v>13201.322</v>
      </c>
      <c r="Q305" s="350">
        <f t="shared" si="330"/>
        <v>0</v>
      </c>
      <c r="R305" s="350">
        <f t="shared" si="331"/>
        <v>13201.322</v>
      </c>
      <c r="S305" s="352">
        <f>+'WP-11 - Non-Regulated'!$K$40</f>
        <v>0.5539209822239638</v>
      </c>
      <c r="T305" s="350">
        <f t="shared" si="332"/>
        <v>7312.4892488948226</v>
      </c>
      <c r="U305" s="350">
        <f t="shared" si="333"/>
        <v>31903.194833333393</v>
      </c>
      <c r="V305" s="350">
        <f t="shared" si="334"/>
        <v>17671.84901816252</v>
      </c>
      <c r="W305" s="352">
        <v>1</v>
      </c>
      <c r="X305" s="350">
        <f t="shared" si="347"/>
        <v>17671.84901816252</v>
      </c>
      <c r="Y305" s="350">
        <f t="shared" si="348"/>
        <v>24984.338267057341</v>
      </c>
      <c r="Z305" s="350">
        <f t="shared" si="337"/>
        <v>11578.107977416768</v>
      </c>
      <c r="AA305" s="350">
        <f t="shared" si="344"/>
        <v>120.58333333333333</v>
      </c>
      <c r="AB305" s="350">
        <f t="shared" si="19"/>
        <v>124</v>
      </c>
      <c r="AC305" s="350">
        <f t="shared" si="345"/>
        <v>125.58333333333333</v>
      </c>
      <c r="AD305" s="350">
        <f t="shared" si="20"/>
        <v>123</v>
      </c>
      <c r="AE305" s="350">
        <f t="shared" si="346"/>
        <v>-8.3333333333333329E-2</v>
      </c>
      <c r="AF305" s="350">
        <f t="shared" si="341"/>
        <v>33100.408379973305</v>
      </c>
    </row>
    <row r="306" spans="2:35">
      <c r="B306" s="289" t="s">
        <v>602</v>
      </c>
      <c r="C306" s="289">
        <v>2020</v>
      </c>
      <c r="D306" s="289">
        <f t="shared" si="325"/>
        <v>120</v>
      </c>
      <c r="E306" s="289">
        <v>7</v>
      </c>
      <c r="F306" s="351">
        <v>0</v>
      </c>
      <c r="G306" s="344" t="s">
        <v>169</v>
      </c>
      <c r="H306" s="289">
        <v>5</v>
      </c>
      <c r="I306" s="289">
        <f t="shared" si="326"/>
        <v>125</v>
      </c>
      <c r="L306" s="350">
        <v>7728</v>
      </c>
      <c r="M306" s="350">
        <v>0</v>
      </c>
      <c r="N306" s="350">
        <f t="shared" si="327"/>
        <v>7728</v>
      </c>
      <c r="O306" s="350">
        <f t="shared" si="328"/>
        <v>128.79999999999998</v>
      </c>
      <c r="P306" s="350">
        <f t="shared" si="329"/>
        <v>1545.6</v>
      </c>
      <c r="Q306" s="350">
        <f t="shared" si="330"/>
        <v>0</v>
      </c>
      <c r="R306" s="350">
        <f t="shared" si="331"/>
        <v>1545.6</v>
      </c>
      <c r="S306" s="352">
        <f>+'WP-11 - Non-Regulated'!$K$40</f>
        <v>0.5539209822239638</v>
      </c>
      <c r="T306" s="350">
        <f t="shared" si="332"/>
        <v>856.14027012535837</v>
      </c>
      <c r="U306" s="350">
        <f t="shared" si="333"/>
        <v>3863.9999999999995</v>
      </c>
      <c r="V306" s="350">
        <f t="shared" si="334"/>
        <v>2140.3506753133956</v>
      </c>
      <c r="W306" s="352">
        <v>1</v>
      </c>
      <c r="X306" s="350">
        <f t="shared" si="347"/>
        <v>2140.3506753133956</v>
      </c>
      <c r="Y306" s="350">
        <f t="shared" si="348"/>
        <v>2996.4909454387539</v>
      </c>
      <c r="Z306" s="350">
        <f t="shared" si="337"/>
        <v>1284.2104051880381</v>
      </c>
      <c r="AA306" s="350">
        <f t="shared" si="344"/>
        <v>120.5</v>
      </c>
      <c r="AB306" s="350">
        <f t="shared" si="19"/>
        <v>124</v>
      </c>
      <c r="AC306" s="350">
        <f t="shared" si="345"/>
        <v>125.5</v>
      </c>
      <c r="AD306" s="350">
        <f t="shared" si="20"/>
        <v>123</v>
      </c>
      <c r="AE306" s="350">
        <f t="shared" si="346"/>
        <v>-8.3333333333333329E-2</v>
      </c>
      <c r="AF306" s="350">
        <f t="shared" si="341"/>
        <v>3875.3687844358874</v>
      </c>
    </row>
    <row r="307" spans="2:35">
      <c r="B307" s="289" t="s">
        <v>681</v>
      </c>
      <c r="C307" s="289">
        <v>2021</v>
      </c>
      <c r="D307" s="289">
        <f t="shared" si="325"/>
        <v>121</v>
      </c>
      <c r="E307" s="289">
        <v>3</v>
      </c>
      <c r="F307" s="351">
        <v>0</v>
      </c>
      <c r="G307" s="344" t="s">
        <v>169</v>
      </c>
      <c r="H307" s="289">
        <v>7</v>
      </c>
      <c r="I307" s="289">
        <f t="shared" si="326"/>
        <v>128</v>
      </c>
      <c r="L307" s="350">
        <v>3500</v>
      </c>
      <c r="M307" s="350"/>
      <c r="N307" s="350">
        <f t="shared" si="327"/>
        <v>3500</v>
      </c>
      <c r="O307" s="350">
        <f t="shared" si="328"/>
        <v>41.666666666666664</v>
      </c>
      <c r="P307" s="350">
        <f t="shared" si="329"/>
        <v>500</v>
      </c>
      <c r="Q307" s="350">
        <f t="shared" si="330"/>
        <v>0</v>
      </c>
      <c r="R307" s="350">
        <f t="shared" si="331"/>
        <v>500</v>
      </c>
      <c r="S307" s="352">
        <f>+S301</f>
        <v>0.45392098222396382</v>
      </c>
      <c r="T307" s="350">
        <f t="shared" si="332"/>
        <v>226.96049111198192</v>
      </c>
      <c r="U307" s="350">
        <f t="shared" si="333"/>
        <v>916.66666666666424</v>
      </c>
      <c r="V307" s="350">
        <f t="shared" si="334"/>
        <v>416.09423370529908</v>
      </c>
      <c r="W307" s="352">
        <v>1</v>
      </c>
      <c r="X307" s="350">
        <f t="shared" si="347"/>
        <v>416.09423370529908</v>
      </c>
      <c r="Y307" s="350">
        <f t="shared" si="348"/>
        <v>643.054724817281</v>
      </c>
      <c r="Z307" s="350">
        <f t="shared" si="337"/>
        <v>945.66871296659235</v>
      </c>
      <c r="AA307" s="350">
        <f t="shared" si="344"/>
        <v>121.16666666666667</v>
      </c>
      <c r="AB307" s="350">
        <f t="shared" si="19"/>
        <v>124</v>
      </c>
      <c r="AC307" s="350">
        <f t="shared" si="345"/>
        <v>128.16666666666666</v>
      </c>
      <c r="AD307" s="350">
        <f t="shared" si="20"/>
        <v>123</v>
      </c>
      <c r="AE307" s="350">
        <f t="shared" si="346"/>
        <v>-8.3333333333333329E-2</v>
      </c>
      <c r="AF307" s="350">
        <f t="shared" si="341"/>
        <v>2024.7568077721176</v>
      </c>
    </row>
    <row r="308" spans="2:35">
      <c r="B308" s="353" t="s">
        <v>672</v>
      </c>
      <c r="C308" s="289">
        <v>2021</v>
      </c>
      <c r="D308" s="289">
        <f t="shared" ref="D308" si="349">+C308-1900</f>
        <v>121</v>
      </c>
      <c r="E308" s="289">
        <v>12</v>
      </c>
      <c r="F308" s="351">
        <v>0</v>
      </c>
      <c r="G308" s="344" t="s">
        <v>169</v>
      </c>
      <c r="H308" s="289">
        <v>7</v>
      </c>
      <c r="I308" s="289">
        <f t="shared" ref="I308" si="350">D308+H308</f>
        <v>128</v>
      </c>
      <c r="L308" s="576">
        <v>27519.02</v>
      </c>
      <c r="M308" s="350">
        <v>0</v>
      </c>
      <c r="N308" s="359">
        <f t="shared" ref="N308" si="351">L308-(+L308*F308)</f>
        <v>27519.02</v>
      </c>
      <c r="O308" s="359">
        <f t="shared" ref="O308" si="352">N308/H308/12</f>
        <v>327.60738095238099</v>
      </c>
      <c r="P308" s="359">
        <f t="shared" ref="P308" si="353">IF(Q308&gt;0,0,IF(OR(AA308&gt;AB308,AC308&lt;AD308),0,IF(AND(AC308&gt;=AD308,AC308&lt;=AB308),O308*((AC308-AD308)*12),IF(AND(AD308&lt;=AA308,AB308&gt;=AA308),((AB308-AA308)*12)*O308,IF(AC308&gt;AB308,12*O308,0)))))</f>
        <v>3931.2885714285721</v>
      </c>
      <c r="Q308" s="350">
        <f t="shared" ref="Q308" si="354">IF(M308=0,0,IF(AND(AE308&gt;=AD308,AE308&lt;=AC308),((AE308-AD308)*12)*O308,0))</f>
        <v>0</v>
      </c>
      <c r="R308" s="359">
        <f t="shared" ref="R308" si="355">IF(Q308&gt;0,Q308,P308)</f>
        <v>3931.2885714285721</v>
      </c>
      <c r="S308" s="352">
        <f>+S307</f>
        <v>0.45392098222396382</v>
      </c>
      <c r="T308" s="350">
        <f t="shared" ref="T308" si="356">S308*SUM(P308:Q308)</f>
        <v>1784.494369748701</v>
      </c>
      <c r="U308" s="359">
        <f t="shared" ref="U308" si="357">IF(AA308&gt;AB308,0,IF(AC308&lt;AD308,N308,IF(AND(AC308&gt;=AD308,AC308&lt;=AB308),(N308-R308),IF(AND(AD308&lt;=AA308,AB308&gt;=AA308),0,IF(AC308&gt;AB308,((AD308-AA308)*12)*O308,0)))))</f>
        <v>4258.8959523809344</v>
      </c>
      <c r="V308" s="359">
        <f t="shared" ref="V308" si="358">U308*S308</f>
        <v>1933.2022338944175</v>
      </c>
      <c r="W308" s="352">
        <v>1</v>
      </c>
      <c r="X308" s="359">
        <f t="shared" ref="X308" si="359">V308*W308</f>
        <v>1933.2022338944175</v>
      </c>
      <c r="Y308" s="359">
        <f t="shared" ref="Y308" si="360">IF(M308&gt;0,0,X308+T308*W308)*W308</f>
        <v>3717.6966036431186</v>
      </c>
      <c r="Z308" s="350">
        <f t="shared" si="337"/>
        <v>8773.7639845977865</v>
      </c>
      <c r="AA308" s="350">
        <f t="shared" si="344"/>
        <v>121.91666666666667</v>
      </c>
      <c r="AB308" s="350">
        <f t="shared" si="145"/>
        <v>124</v>
      </c>
      <c r="AC308" s="350">
        <f t="shared" si="345"/>
        <v>128.91666666666666</v>
      </c>
      <c r="AD308" s="350">
        <f t="shared" si="146"/>
        <v>123</v>
      </c>
      <c r="AE308" s="350">
        <f t="shared" si="346"/>
        <v>-8.3333333333333329E-2</v>
      </c>
      <c r="AF308" s="350">
        <f t="shared" ref="AF308" si="361">L308-((X308+Y308)/2)-Z308</f>
        <v>15919.806596633447</v>
      </c>
      <c r="AG308" s="350"/>
      <c r="AH308" s="350"/>
      <c r="AI308" s="350"/>
    </row>
    <row r="309" spans="2:35">
      <c r="B309" s="289" t="s">
        <v>601</v>
      </c>
      <c r="C309" s="289">
        <v>2021</v>
      </c>
      <c r="D309" s="289">
        <f t="shared" ref="D309:D328" si="362">+C309-1900</f>
        <v>121</v>
      </c>
      <c r="E309" s="289">
        <v>7</v>
      </c>
      <c r="F309" s="351">
        <v>0</v>
      </c>
      <c r="G309" s="344" t="s">
        <v>169</v>
      </c>
      <c r="H309" s="289">
        <v>5</v>
      </c>
      <c r="I309" s="289">
        <f t="shared" ref="I309:I328" si="363">D309+H309</f>
        <v>126</v>
      </c>
      <c r="L309" s="350">
        <v>64848.02</v>
      </c>
      <c r="M309" s="350">
        <v>0</v>
      </c>
      <c r="N309" s="350">
        <f t="shared" ref="N309:N328" si="364">L309-(+L309*F309)</f>
        <v>64848.02</v>
      </c>
      <c r="O309" s="350">
        <f t="shared" ref="O309:O328" si="365">N309/H309/12</f>
        <v>1080.8003333333334</v>
      </c>
      <c r="P309" s="350">
        <f t="shared" ref="P309:P328" si="366">IF(Q309&gt;0,0,IF(OR(AA309&gt;AB309,AC309&lt;AD309),0,IF(AND(AC309&gt;=AD309,AC309&lt;=AB309),O309*((AC309-AD309)*12),IF(AND(AD309&lt;=AA309,AB309&gt;=AA309),((AB309-AA309)*12)*O309,IF(AC309&gt;AB309,12*O309,0)))))</f>
        <v>12969.603999999999</v>
      </c>
      <c r="Q309" s="350">
        <f t="shared" ref="Q309:Q328" si="367">IF(M309=0,0,IF(AND(AE309&gt;=AD309,AE309&lt;=AC309),((AE309-AD309)*12)*O309,0))</f>
        <v>0</v>
      </c>
      <c r="R309" s="350">
        <f t="shared" ref="R309:R328" si="368">IF(Q309&gt;0,Q309,P309)</f>
        <v>12969.603999999999</v>
      </c>
      <c r="S309" s="352">
        <f>+'WP-11 - Non-Regulated'!$K$40</f>
        <v>0.5539209822239638</v>
      </c>
      <c r="T309" s="350">
        <f t="shared" ref="T309:T328" si="369">S309*SUM(P309:Q309)</f>
        <v>7184.1357867358493</v>
      </c>
      <c r="U309" s="350">
        <f t="shared" ref="U309:U328" si="370">IF(AA309&gt;AB309,0,IF(AC309&lt;AD309,N309,IF(AND(AC309&gt;=AD309,AC309&lt;=AB309),(N309-R309),IF(AND(AD309&lt;=AA309,AB309&gt;=AA309),0,IF(AC309&gt;AB309,((AD309-AA309)*12)*O309,0)))))</f>
        <v>19454.405999999999</v>
      </c>
      <c r="V309" s="350">
        <f t="shared" ref="V309:V328" si="371">U309*S309</f>
        <v>10776.203680103774</v>
      </c>
      <c r="W309" s="352">
        <v>1</v>
      </c>
      <c r="X309" s="350">
        <f t="shared" ref="X309:X328" si="372">V309*W309</f>
        <v>10776.203680103774</v>
      </c>
      <c r="Y309" s="350">
        <f t="shared" ref="Y309:Y328" si="373">IF(M309&gt;0,0,X309+T309*W309)*W309</f>
        <v>17960.339466839621</v>
      </c>
      <c r="Z309" s="350">
        <f t="shared" si="337"/>
        <v>17960.339466839621</v>
      </c>
      <c r="AA309" s="350">
        <f t="shared" si="344"/>
        <v>121.5</v>
      </c>
      <c r="AB309" s="350">
        <f t="shared" si="19"/>
        <v>124</v>
      </c>
      <c r="AC309" s="350">
        <f t="shared" si="345"/>
        <v>126.5</v>
      </c>
      <c r="AD309" s="350">
        <f t="shared" si="20"/>
        <v>123</v>
      </c>
      <c r="AE309" s="350">
        <f t="shared" si="346"/>
        <v>-8.3333333333333329E-2</v>
      </c>
      <c r="AF309" s="350">
        <f t="shared" ref="AF309:AF328" si="374">L309-((X309+Y309)/2)-Z309</f>
        <v>32519.408959688677</v>
      </c>
    </row>
    <row r="310" spans="2:35">
      <c r="B310" s="289" t="s">
        <v>600</v>
      </c>
      <c r="C310" s="289">
        <v>2021</v>
      </c>
      <c r="D310" s="289">
        <f t="shared" si="362"/>
        <v>121</v>
      </c>
      <c r="E310" s="289">
        <v>3</v>
      </c>
      <c r="F310" s="351">
        <v>0</v>
      </c>
      <c r="G310" s="344" t="s">
        <v>169</v>
      </c>
      <c r="H310" s="289">
        <v>7</v>
      </c>
      <c r="I310" s="289">
        <f t="shared" si="363"/>
        <v>128</v>
      </c>
      <c r="L310" s="350">
        <v>189629.48</v>
      </c>
      <c r="M310" s="350">
        <v>0</v>
      </c>
      <c r="N310" s="350">
        <f t="shared" si="364"/>
        <v>189629.48</v>
      </c>
      <c r="O310" s="350">
        <f t="shared" si="365"/>
        <v>2257.4938095238099</v>
      </c>
      <c r="P310" s="350">
        <f t="shared" si="366"/>
        <v>27089.925714285717</v>
      </c>
      <c r="Q310" s="350">
        <f t="shared" si="367"/>
        <v>0</v>
      </c>
      <c r="R310" s="350">
        <f t="shared" si="368"/>
        <v>27089.925714285717</v>
      </c>
      <c r="S310" s="352">
        <f>+'WP-11 - Non-Regulated'!$K$40</f>
        <v>0.5539209822239638</v>
      </c>
      <c r="T310" s="350">
        <f t="shared" si="369"/>
        <v>15005.678260031358</v>
      </c>
      <c r="U310" s="350">
        <f t="shared" si="370"/>
        <v>49664.863809523689</v>
      </c>
      <c r="V310" s="350">
        <f t="shared" si="371"/>
        <v>27510.410143390753</v>
      </c>
      <c r="W310" s="352">
        <v>1</v>
      </c>
      <c r="X310" s="350">
        <f t="shared" si="372"/>
        <v>27510.410143390753</v>
      </c>
      <c r="Y310" s="350">
        <f t="shared" si="373"/>
        <v>42516.088403422109</v>
      </c>
      <c r="Z310" s="350">
        <f t="shared" si="337"/>
        <v>62523.659416797389</v>
      </c>
      <c r="AA310" s="350">
        <f t="shared" si="344"/>
        <v>121.16666666666667</v>
      </c>
      <c r="AB310" s="350">
        <f t="shared" si="19"/>
        <v>124</v>
      </c>
      <c r="AC310" s="350">
        <f t="shared" si="345"/>
        <v>128.16666666666666</v>
      </c>
      <c r="AD310" s="350">
        <f t="shared" si="20"/>
        <v>123</v>
      </c>
      <c r="AE310" s="350">
        <f t="shared" si="346"/>
        <v>-8.3333333333333329E-2</v>
      </c>
      <c r="AF310" s="350">
        <f t="shared" si="374"/>
        <v>92092.571309796185</v>
      </c>
    </row>
    <row r="311" spans="2:35">
      <c r="B311" s="289" t="s">
        <v>599</v>
      </c>
      <c r="C311" s="289">
        <v>2021</v>
      </c>
      <c r="D311" s="289">
        <f t="shared" si="362"/>
        <v>121</v>
      </c>
      <c r="E311" s="289">
        <v>3</v>
      </c>
      <c r="F311" s="351">
        <v>0</v>
      </c>
      <c r="G311" s="344" t="s">
        <v>169</v>
      </c>
      <c r="H311" s="289">
        <v>7</v>
      </c>
      <c r="I311" s="289">
        <f t="shared" si="363"/>
        <v>128</v>
      </c>
      <c r="L311" s="350">
        <v>140675.37</v>
      </c>
      <c r="M311" s="350">
        <v>0</v>
      </c>
      <c r="N311" s="350">
        <f t="shared" si="364"/>
        <v>140675.37</v>
      </c>
      <c r="O311" s="350">
        <f t="shared" si="365"/>
        <v>1674.7067857142856</v>
      </c>
      <c r="P311" s="350">
        <f t="shared" si="366"/>
        <v>20096.481428571427</v>
      </c>
      <c r="Q311" s="350">
        <f t="shared" si="367"/>
        <v>0</v>
      </c>
      <c r="R311" s="350">
        <f t="shared" si="368"/>
        <v>20096.481428571427</v>
      </c>
      <c r="S311" s="352">
        <f>+'WP-11 - Non-Regulated'!$K$40</f>
        <v>0.5539209822239638</v>
      </c>
      <c r="T311" s="350">
        <f t="shared" si="369"/>
        <v>11131.862732159932</v>
      </c>
      <c r="U311" s="350">
        <f t="shared" si="370"/>
        <v>36843.549285714187</v>
      </c>
      <c r="V311" s="350">
        <f t="shared" si="371"/>
        <v>20408.415008959822</v>
      </c>
      <c r="W311" s="352">
        <v>1</v>
      </c>
      <c r="X311" s="350">
        <f t="shared" si="372"/>
        <v>20408.415008959822</v>
      </c>
      <c r="Y311" s="350">
        <f t="shared" si="373"/>
        <v>31540.277741119753</v>
      </c>
      <c r="Z311" s="350">
        <f t="shared" si="337"/>
        <v>46382.761383999772</v>
      </c>
      <c r="AA311" s="350">
        <f t="shared" si="344"/>
        <v>121.16666666666667</v>
      </c>
      <c r="AB311" s="350">
        <f t="shared" si="19"/>
        <v>124</v>
      </c>
      <c r="AC311" s="350">
        <f t="shared" si="345"/>
        <v>128.16666666666666</v>
      </c>
      <c r="AD311" s="350">
        <f t="shared" si="20"/>
        <v>123</v>
      </c>
      <c r="AE311" s="350">
        <f t="shared" si="346"/>
        <v>-8.3333333333333329E-2</v>
      </c>
      <c r="AF311" s="350">
        <f t="shared" si="374"/>
        <v>68318.262240960437</v>
      </c>
    </row>
    <row r="312" spans="2:35">
      <c r="B312" s="289" t="s">
        <v>598</v>
      </c>
      <c r="C312" s="289">
        <v>2021</v>
      </c>
      <c r="D312" s="289">
        <f t="shared" si="362"/>
        <v>121</v>
      </c>
      <c r="E312" s="289">
        <v>5</v>
      </c>
      <c r="F312" s="351">
        <v>0</v>
      </c>
      <c r="G312" s="344" t="s">
        <v>169</v>
      </c>
      <c r="H312" s="289">
        <v>7</v>
      </c>
      <c r="I312" s="289">
        <f t="shared" si="363"/>
        <v>128</v>
      </c>
      <c r="L312" s="350">
        <v>190022.87</v>
      </c>
      <c r="M312" s="350">
        <v>0</v>
      </c>
      <c r="N312" s="350">
        <f t="shared" si="364"/>
        <v>190022.87</v>
      </c>
      <c r="O312" s="350">
        <f t="shared" si="365"/>
        <v>2262.1770238095237</v>
      </c>
      <c r="P312" s="350">
        <f t="shared" si="366"/>
        <v>27146.124285714286</v>
      </c>
      <c r="Q312" s="350">
        <f t="shared" si="367"/>
        <v>0</v>
      </c>
      <c r="R312" s="350">
        <f t="shared" si="368"/>
        <v>27146.124285714286</v>
      </c>
      <c r="S312" s="352">
        <f>+'WP-11 - Non-Regulated'!$K$40</f>
        <v>0.5539209822239638</v>
      </c>
      <c r="T312" s="350">
        <f t="shared" si="369"/>
        <v>15036.807827916655</v>
      </c>
      <c r="U312" s="350">
        <f t="shared" si="370"/>
        <v>45243.540476190603</v>
      </c>
      <c r="V312" s="350">
        <f t="shared" si="371"/>
        <v>25061.346379861163</v>
      </c>
      <c r="W312" s="352">
        <v>1</v>
      </c>
      <c r="X312" s="350">
        <f t="shared" si="372"/>
        <v>25061.346379861163</v>
      </c>
      <c r="Y312" s="350">
        <f t="shared" si="373"/>
        <v>40098.154207777814</v>
      </c>
      <c r="Z312" s="350">
        <f t="shared" si="337"/>
        <v>65159.500587638766</v>
      </c>
      <c r="AA312" s="350">
        <f t="shared" si="344"/>
        <v>121.33333333333333</v>
      </c>
      <c r="AB312" s="350">
        <f t="shared" si="19"/>
        <v>124</v>
      </c>
      <c r="AC312" s="350">
        <f t="shared" si="345"/>
        <v>128.33333333333334</v>
      </c>
      <c r="AD312" s="350">
        <f t="shared" si="20"/>
        <v>123</v>
      </c>
      <c r="AE312" s="350">
        <f t="shared" si="346"/>
        <v>-8.3333333333333329E-2</v>
      </c>
      <c r="AF312" s="350">
        <f t="shared" si="374"/>
        <v>92283.619118541741</v>
      </c>
    </row>
    <row r="313" spans="2:35">
      <c r="B313" s="289" t="s">
        <v>597</v>
      </c>
      <c r="C313" s="289">
        <v>2021</v>
      </c>
      <c r="D313" s="289">
        <f t="shared" si="362"/>
        <v>121</v>
      </c>
      <c r="E313" s="289">
        <v>5</v>
      </c>
      <c r="F313" s="351">
        <v>0</v>
      </c>
      <c r="G313" s="344" t="s">
        <v>169</v>
      </c>
      <c r="H313" s="289">
        <v>7</v>
      </c>
      <c r="I313" s="289">
        <f t="shared" si="363"/>
        <v>128</v>
      </c>
      <c r="L313" s="350">
        <v>130209.51</v>
      </c>
      <c r="M313" s="350">
        <v>0</v>
      </c>
      <c r="N313" s="350">
        <f t="shared" si="364"/>
        <v>130209.51</v>
      </c>
      <c r="O313" s="350">
        <f t="shared" si="365"/>
        <v>1550.1132142857141</v>
      </c>
      <c r="P313" s="350">
        <f t="shared" si="366"/>
        <v>18601.358571428569</v>
      </c>
      <c r="Q313" s="350">
        <f t="shared" si="367"/>
        <v>0</v>
      </c>
      <c r="R313" s="350">
        <f t="shared" si="368"/>
        <v>18601.358571428569</v>
      </c>
      <c r="S313" s="352">
        <f>+'WP-11 - Non-Regulated'!$K$40</f>
        <v>0.5539209822239638</v>
      </c>
      <c r="T313" s="350">
        <f t="shared" si="369"/>
        <v>10303.68281058586</v>
      </c>
      <c r="U313" s="350">
        <f t="shared" si="370"/>
        <v>31002.264285714369</v>
      </c>
      <c r="V313" s="350">
        <f t="shared" si="371"/>
        <v>17172.804684309816</v>
      </c>
      <c r="W313" s="352">
        <v>1</v>
      </c>
      <c r="X313" s="350">
        <f t="shared" si="372"/>
        <v>17172.804684309816</v>
      </c>
      <c r="Y313" s="350">
        <f t="shared" si="373"/>
        <v>27476.487494895679</v>
      </c>
      <c r="Z313" s="350">
        <f t="shared" si="337"/>
        <v>44649.292179205353</v>
      </c>
      <c r="AA313" s="350">
        <f t="shared" si="344"/>
        <v>121.33333333333333</v>
      </c>
      <c r="AB313" s="350">
        <f t="shared" si="19"/>
        <v>124</v>
      </c>
      <c r="AC313" s="350">
        <f t="shared" si="345"/>
        <v>128.33333333333334</v>
      </c>
      <c r="AD313" s="350">
        <f t="shared" si="20"/>
        <v>123</v>
      </c>
      <c r="AE313" s="350">
        <f t="shared" si="346"/>
        <v>-8.3333333333333329E-2</v>
      </c>
      <c r="AF313" s="350">
        <f t="shared" si="374"/>
        <v>63235.5717311919</v>
      </c>
    </row>
    <row r="314" spans="2:35">
      <c r="B314" s="289" t="s">
        <v>596</v>
      </c>
      <c r="C314" s="289">
        <v>2021</v>
      </c>
      <c r="D314" s="289">
        <f t="shared" si="362"/>
        <v>121</v>
      </c>
      <c r="E314" s="289">
        <v>5</v>
      </c>
      <c r="F314" s="351">
        <v>0</v>
      </c>
      <c r="G314" s="344" t="s">
        <v>169</v>
      </c>
      <c r="H314" s="289">
        <v>7</v>
      </c>
      <c r="I314" s="289">
        <f t="shared" si="363"/>
        <v>128</v>
      </c>
      <c r="L314" s="350">
        <v>190022.87</v>
      </c>
      <c r="M314" s="350">
        <v>0</v>
      </c>
      <c r="N314" s="350">
        <f t="shared" si="364"/>
        <v>190022.87</v>
      </c>
      <c r="O314" s="350">
        <f t="shared" si="365"/>
        <v>2262.1770238095237</v>
      </c>
      <c r="P314" s="350">
        <f t="shared" si="366"/>
        <v>27146.124285714286</v>
      </c>
      <c r="Q314" s="350">
        <f t="shared" si="367"/>
        <v>0</v>
      </c>
      <c r="R314" s="350">
        <f t="shared" si="368"/>
        <v>27146.124285714286</v>
      </c>
      <c r="S314" s="352">
        <f>+'WP-11 - Non-Regulated'!$K$40</f>
        <v>0.5539209822239638</v>
      </c>
      <c r="T314" s="350">
        <f t="shared" si="369"/>
        <v>15036.807827916655</v>
      </c>
      <c r="U314" s="350">
        <f t="shared" si="370"/>
        <v>45243.540476190603</v>
      </c>
      <c r="V314" s="350">
        <f t="shared" si="371"/>
        <v>25061.346379861163</v>
      </c>
      <c r="W314" s="352">
        <v>1</v>
      </c>
      <c r="X314" s="350">
        <f t="shared" si="372"/>
        <v>25061.346379861163</v>
      </c>
      <c r="Y314" s="350">
        <f t="shared" si="373"/>
        <v>40098.154207777814</v>
      </c>
      <c r="Z314" s="350">
        <f t="shared" si="337"/>
        <v>65159.500587638766</v>
      </c>
      <c r="AA314" s="350">
        <f t="shared" si="344"/>
        <v>121.33333333333333</v>
      </c>
      <c r="AB314" s="350">
        <f t="shared" si="19"/>
        <v>124</v>
      </c>
      <c r="AC314" s="350">
        <f t="shared" si="345"/>
        <v>128.33333333333334</v>
      </c>
      <c r="AD314" s="350">
        <f t="shared" si="20"/>
        <v>123</v>
      </c>
      <c r="AE314" s="350">
        <f t="shared" si="346"/>
        <v>-8.3333333333333329E-2</v>
      </c>
      <c r="AF314" s="350">
        <f t="shared" si="374"/>
        <v>92283.619118541741</v>
      </c>
    </row>
    <row r="315" spans="2:35">
      <c r="B315" s="289" t="s">
        <v>595</v>
      </c>
      <c r="C315" s="289">
        <v>2021</v>
      </c>
      <c r="D315" s="289">
        <f t="shared" si="362"/>
        <v>121</v>
      </c>
      <c r="E315" s="289">
        <v>5</v>
      </c>
      <c r="F315" s="351">
        <v>0</v>
      </c>
      <c r="G315" s="344" t="s">
        <v>169</v>
      </c>
      <c r="H315" s="289">
        <v>7</v>
      </c>
      <c r="I315" s="289">
        <f t="shared" si="363"/>
        <v>128</v>
      </c>
      <c r="L315" s="350">
        <v>130209.51</v>
      </c>
      <c r="M315" s="350">
        <v>0</v>
      </c>
      <c r="N315" s="350">
        <f t="shared" si="364"/>
        <v>130209.51</v>
      </c>
      <c r="O315" s="350">
        <f t="shared" si="365"/>
        <v>1550.1132142857141</v>
      </c>
      <c r="P315" s="350">
        <f t="shared" si="366"/>
        <v>18601.358571428569</v>
      </c>
      <c r="Q315" s="350">
        <f t="shared" si="367"/>
        <v>0</v>
      </c>
      <c r="R315" s="350">
        <f t="shared" si="368"/>
        <v>18601.358571428569</v>
      </c>
      <c r="S315" s="352">
        <f>+'WP-11 - Non-Regulated'!$K$40</f>
        <v>0.5539209822239638</v>
      </c>
      <c r="T315" s="350">
        <f t="shared" si="369"/>
        <v>10303.68281058586</v>
      </c>
      <c r="U315" s="350">
        <f t="shared" si="370"/>
        <v>31002.264285714369</v>
      </c>
      <c r="V315" s="350">
        <f t="shared" si="371"/>
        <v>17172.804684309816</v>
      </c>
      <c r="W315" s="352">
        <v>1</v>
      </c>
      <c r="X315" s="350">
        <f t="shared" si="372"/>
        <v>17172.804684309816</v>
      </c>
      <c r="Y315" s="350">
        <f t="shared" si="373"/>
        <v>27476.487494895679</v>
      </c>
      <c r="Z315" s="350">
        <f t="shared" si="337"/>
        <v>44649.292179205353</v>
      </c>
      <c r="AA315" s="350">
        <f t="shared" si="344"/>
        <v>121.33333333333333</v>
      </c>
      <c r="AB315" s="350">
        <f t="shared" si="19"/>
        <v>124</v>
      </c>
      <c r="AC315" s="350">
        <f t="shared" si="345"/>
        <v>128.33333333333334</v>
      </c>
      <c r="AD315" s="350">
        <f t="shared" si="20"/>
        <v>123</v>
      </c>
      <c r="AE315" s="350">
        <f t="shared" si="346"/>
        <v>-8.3333333333333329E-2</v>
      </c>
      <c r="AF315" s="350">
        <f t="shared" si="374"/>
        <v>63235.5717311919</v>
      </c>
    </row>
    <row r="316" spans="2:35">
      <c r="B316" s="289" t="s">
        <v>594</v>
      </c>
      <c r="C316" s="289">
        <v>2021</v>
      </c>
      <c r="D316" s="289">
        <f t="shared" si="362"/>
        <v>121</v>
      </c>
      <c r="E316" s="289">
        <v>3</v>
      </c>
      <c r="F316" s="351">
        <v>0</v>
      </c>
      <c r="G316" s="344" t="s">
        <v>169</v>
      </c>
      <c r="H316" s="289">
        <v>5</v>
      </c>
      <c r="I316" s="289">
        <f t="shared" si="363"/>
        <v>126</v>
      </c>
      <c r="L316" s="350">
        <v>28216.23</v>
      </c>
      <c r="M316" s="350">
        <v>0</v>
      </c>
      <c r="N316" s="350">
        <f t="shared" si="364"/>
        <v>28216.23</v>
      </c>
      <c r="O316" s="350">
        <f t="shared" si="365"/>
        <v>470.27050000000003</v>
      </c>
      <c r="P316" s="350">
        <f t="shared" si="366"/>
        <v>5643.2460000000001</v>
      </c>
      <c r="Q316" s="350">
        <f t="shared" si="367"/>
        <v>0</v>
      </c>
      <c r="R316" s="350">
        <f t="shared" si="368"/>
        <v>5643.2460000000001</v>
      </c>
      <c r="S316" s="352">
        <f>+'WP-11 - Non-Regulated'!$K$40</f>
        <v>0.5539209822239638</v>
      </c>
      <c r="T316" s="350">
        <f t="shared" si="369"/>
        <v>3125.9123672514547</v>
      </c>
      <c r="U316" s="350">
        <f t="shared" si="370"/>
        <v>10345.950999999974</v>
      </c>
      <c r="V316" s="350">
        <f t="shared" si="371"/>
        <v>5730.8393399609859</v>
      </c>
      <c r="W316" s="352">
        <v>1</v>
      </c>
      <c r="X316" s="350">
        <f t="shared" si="372"/>
        <v>5730.8393399609859</v>
      </c>
      <c r="Y316" s="350">
        <f t="shared" si="373"/>
        <v>8856.751707212441</v>
      </c>
      <c r="Z316" s="350">
        <f t="shared" si="337"/>
        <v>6772.8101290448321</v>
      </c>
      <c r="AA316" s="350">
        <f t="shared" si="344"/>
        <v>121.16666666666667</v>
      </c>
      <c r="AB316" s="350">
        <f t="shared" si="19"/>
        <v>124</v>
      </c>
      <c r="AC316" s="350">
        <f t="shared" si="345"/>
        <v>126.16666666666667</v>
      </c>
      <c r="AD316" s="350">
        <f t="shared" si="20"/>
        <v>123</v>
      </c>
      <c r="AE316" s="350">
        <f t="shared" si="346"/>
        <v>-8.3333333333333329E-2</v>
      </c>
      <c r="AF316" s="350">
        <f t="shared" si="374"/>
        <v>14149.624347368452</v>
      </c>
    </row>
    <row r="317" spans="2:35">
      <c r="B317" s="289" t="s">
        <v>593</v>
      </c>
      <c r="C317" s="289">
        <v>2021</v>
      </c>
      <c r="D317" s="289">
        <f t="shared" si="362"/>
        <v>121</v>
      </c>
      <c r="E317" s="289">
        <v>6</v>
      </c>
      <c r="F317" s="351">
        <v>0</v>
      </c>
      <c r="G317" s="344" t="s">
        <v>169</v>
      </c>
      <c r="H317" s="289">
        <v>5</v>
      </c>
      <c r="I317" s="289">
        <f t="shared" si="363"/>
        <v>126</v>
      </c>
      <c r="L317" s="350">
        <v>33679.550000000003</v>
      </c>
      <c r="M317" s="350">
        <v>0</v>
      </c>
      <c r="N317" s="350">
        <f t="shared" si="364"/>
        <v>33679.550000000003</v>
      </c>
      <c r="O317" s="350">
        <f t="shared" si="365"/>
        <v>561.32583333333343</v>
      </c>
      <c r="P317" s="350">
        <f t="shared" si="366"/>
        <v>6735.9100000000017</v>
      </c>
      <c r="Q317" s="350">
        <f t="shared" si="367"/>
        <v>0</v>
      </c>
      <c r="R317" s="350">
        <f t="shared" si="368"/>
        <v>6735.9100000000017</v>
      </c>
      <c r="S317" s="352">
        <f>+'WP-11 - Non-Regulated'!$K$40</f>
        <v>0.5539209822239638</v>
      </c>
      <c r="T317" s="350">
        <f t="shared" si="369"/>
        <v>3731.1618833722209</v>
      </c>
      <c r="U317" s="350">
        <f t="shared" si="370"/>
        <v>10665.190833333303</v>
      </c>
      <c r="V317" s="350">
        <f t="shared" si="371"/>
        <v>5907.6729820059982</v>
      </c>
      <c r="W317" s="352">
        <v>1</v>
      </c>
      <c r="X317" s="350">
        <f t="shared" si="372"/>
        <v>5907.6729820059982</v>
      </c>
      <c r="Y317" s="350">
        <f t="shared" si="373"/>
        <v>9638.8348653782195</v>
      </c>
      <c r="Z317" s="350">
        <f t="shared" si="337"/>
        <v>9016.9745514828828</v>
      </c>
      <c r="AA317" s="350">
        <f t="shared" si="344"/>
        <v>121.41666666666667</v>
      </c>
      <c r="AB317" s="350">
        <f t="shared" si="19"/>
        <v>124</v>
      </c>
      <c r="AC317" s="350">
        <f t="shared" si="345"/>
        <v>126.41666666666667</v>
      </c>
      <c r="AD317" s="350">
        <f t="shared" si="20"/>
        <v>123</v>
      </c>
      <c r="AE317" s="350">
        <f t="shared" si="346"/>
        <v>-8.3333333333333329E-2</v>
      </c>
      <c r="AF317" s="350">
        <f t="shared" si="374"/>
        <v>16889.321524825013</v>
      </c>
    </row>
    <row r="318" spans="2:35">
      <c r="B318" s="289" t="s">
        <v>592</v>
      </c>
      <c r="C318" s="289">
        <v>2021</v>
      </c>
      <c r="D318" s="289">
        <f t="shared" si="362"/>
        <v>121</v>
      </c>
      <c r="E318" s="289">
        <v>9</v>
      </c>
      <c r="F318" s="351">
        <v>0</v>
      </c>
      <c r="G318" s="344" t="s">
        <v>169</v>
      </c>
      <c r="H318" s="289">
        <v>5</v>
      </c>
      <c r="I318" s="289">
        <f t="shared" si="363"/>
        <v>126</v>
      </c>
      <c r="L318" s="350">
        <v>38646.559999999998</v>
      </c>
      <c r="M318" s="350">
        <v>0</v>
      </c>
      <c r="N318" s="350">
        <f t="shared" si="364"/>
        <v>38646.559999999998</v>
      </c>
      <c r="O318" s="350">
        <f t="shared" si="365"/>
        <v>644.10933333333332</v>
      </c>
      <c r="P318" s="350">
        <f t="shared" si="366"/>
        <v>7729.3119999999999</v>
      </c>
      <c r="Q318" s="350">
        <f t="shared" si="367"/>
        <v>0</v>
      </c>
      <c r="R318" s="350">
        <f t="shared" si="368"/>
        <v>7729.3119999999999</v>
      </c>
      <c r="S318" s="352">
        <f>+'WP-11 - Non-Regulated'!$K$40</f>
        <v>0.5539209822239638</v>
      </c>
      <c r="T318" s="350">
        <f t="shared" si="369"/>
        <v>4281.4280949554704</v>
      </c>
      <c r="U318" s="350">
        <f t="shared" si="370"/>
        <v>10305.749333333297</v>
      </c>
      <c r="V318" s="350">
        <f t="shared" si="371"/>
        <v>5708.5707932739397</v>
      </c>
      <c r="W318" s="352">
        <v>1</v>
      </c>
      <c r="X318" s="350">
        <f t="shared" si="372"/>
        <v>5708.5707932739397</v>
      </c>
      <c r="Y318" s="350">
        <f t="shared" si="373"/>
        <v>9989.9988882294092</v>
      </c>
      <c r="Z318" s="350">
        <f t="shared" si="337"/>
        <v>11417.141586547939</v>
      </c>
      <c r="AA318" s="350">
        <f t="shared" si="344"/>
        <v>121.66666666666667</v>
      </c>
      <c r="AB318" s="350">
        <f t="shared" si="19"/>
        <v>124</v>
      </c>
      <c r="AC318" s="350">
        <f t="shared" si="345"/>
        <v>126.66666666666667</v>
      </c>
      <c r="AD318" s="350">
        <f t="shared" si="20"/>
        <v>123</v>
      </c>
      <c r="AE318" s="350">
        <f t="shared" si="346"/>
        <v>-8.3333333333333329E-2</v>
      </c>
      <c r="AF318" s="350">
        <f t="shared" si="374"/>
        <v>19380.133572700386</v>
      </c>
    </row>
    <row r="319" spans="2:35">
      <c r="B319" s="289" t="s">
        <v>591</v>
      </c>
      <c r="C319" s="289">
        <v>2021</v>
      </c>
      <c r="D319" s="289">
        <f t="shared" si="362"/>
        <v>121</v>
      </c>
      <c r="E319" s="289">
        <v>8</v>
      </c>
      <c r="F319" s="351">
        <v>0</v>
      </c>
      <c r="G319" s="344" t="s">
        <v>169</v>
      </c>
      <c r="H319" s="289">
        <v>5</v>
      </c>
      <c r="I319" s="289">
        <f t="shared" si="363"/>
        <v>126</v>
      </c>
      <c r="L319" s="350">
        <v>3398.14</v>
      </c>
      <c r="M319" s="350">
        <v>0</v>
      </c>
      <c r="N319" s="350">
        <f t="shared" si="364"/>
        <v>3398.14</v>
      </c>
      <c r="O319" s="350">
        <f t="shared" si="365"/>
        <v>56.635666666666658</v>
      </c>
      <c r="P319" s="350">
        <f t="shared" si="366"/>
        <v>679.62799999999993</v>
      </c>
      <c r="Q319" s="350">
        <f t="shared" si="367"/>
        <v>0</v>
      </c>
      <c r="R319" s="350">
        <f t="shared" si="368"/>
        <v>679.62799999999993</v>
      </c>
      <c r="S319" s="352">
        <f>+'WP-11 - Non-Regulated'!$K$40</f>
        <v>0.5539209822239638</v>
      </c>
      <c r="T319" s="350">
        <f t="shared" si="369"/>
        <v>376.46020930690804</v>
      </c>
      <c r="U319" s="350">
        <f t="shared" si="370"/>
        <v>962.8063333333364</v>
      </c>
      <c r="V319" s="350">
        <f t="shared" si="371"/>
        <v>533.31862985145483</v>
      </c>
      <c r="W319" s="352">
        <v>1</v>
      </c>
      <c r="X319" s="350">
        <f t="shared" si="372"/>
        <v>533.31862985145483</v>
      </c>
      <c r="Y319" s="350">
        <f t="shared" si="373"/>
        <v>909.77883915836287</v>
      </c>
      <c r="Z319" s="350">
        <f t="shared" si="337"/>
        <v>972.52220737617745</v>
      </c>
      <c r="AA319" s="350">
        <f t="shared" si="344"/>
        <v>121.58333333333333</v>
      </c>
      <c r="AB319" s="350">
        <f t="shared" si="19"/>
        <v>124</v>
      </c>
      <c r="AC319" s="350">
        <f t="shared" si="345"/>
        <v>126.58333333333333</v>
      </c>
      <c r="AD319" s="350">
        <f t="shared" si="20"/>
        <v>123</v>
      </c>
      <c r="AE319" s="350">
        <f t="shared" si="346"/>
        <v>-8.3333333333333329E-2</v>
      </c>
      <c r="AF319" s="350">
        <f t="shared" si="374"/>
        <v>1704.0690581189133</v>
      </c>
    </row>
    <row r="320" spans="2:35">
      <c r="B320" s="289" t="s">
        <v>590</v>
      </c>
      <c r="C320" s="289">
        <v>2021</v>
      </c>
      <c r="D320" s="289">
        <f t="shared" si="362"/>
        <v>121</v>
      </c>
      <c r="E320" s="289">
        <v>10</v>
      </c>
      <c r="F320" s="351">
        <v>0</v>
      </c>
      <c r="G320" s="344" t="s">
        <v>169</v>
      </c>
      <c r="H320" s="289">
        <v>5</v>
      </c>
      <c r="I320" s="289">
        <f t="shared" si="363"/>
        <v>126</v>
      </c>
      <c r="L320" s="350">
        <v>2564.21</v>
      </c>
      <c r="M320" s="350">
        <v>0</v>
      </c>
      <c r="N320" s="350">
        <f t="shared" si="364"/>
        <v>2564.21</v>
      </c>
      <c r="O320" s="350">
        <f t="shared" si="365"/>
        <v>42.73683333333333</v>
      </c>
      <c r="P320" s="350">
        <f t="shared" si="366"/>
        <v>512.84199999999998</v>
      </c>
      <c r="Q320" s="350">
        <f t="shared" si="367"/>
        <v>0</v>
      </c>
      <c r="R320" s="350">
        <f t="shared" si="368"/>
        <v>512.84199999999998</v>
      </c>
      <c r="S320" s="352">
        <f>+'WP-11 - Non-Regulated'!$K$40</f>
        <v>0.5539209822239638</v>
      </c>
      <c r="T320" s="350">
        <f t="shared" si="369"/>
        <v>284.07394436570206</v>
      </c>
      <c r="U320" s="350">
        <f t="shared" si="370"/>
        <v>641.0524999999999</v>
      </c>
      <c r="V320" s="350">
        <f t="shared" si="371"/>
        <v>355.09243045712748</v>
      </c>
      <c r="W320" s="352">
        <v>1</v>
      </c>
      <c r="X320" s="350">
        <f t="shared" si="372"/>
        <v>355.09243045712748</v>
      </c>
      <c r="Y320" s="350">
        <f t="shared" si="373"/>
        <v>639.16637482282954</v>
      </c>
      <c r="Z320" s="350">
        <f t="shared" si="337"/>
        <v>781.20334700568071</v>
      </c>
      <c r="AA320" s="350">
        <f t="shared" si="344"/>
        <v>121.75</v>
      </c>
      <c r="AB320" s="350">
        <f t="shared" si="19"/>
        <v>124</v>
      </c>
      <c r="AC320" s="350">
        <f t="shared" si="345"/>
        <v>126.75</v>
      </c>
      <c r="AD320" s="350">
        <f t="shared" si="20"/>
        <v>123</v>
      </c>
      <c r="AE320" s="350">
        <f t="shared" si="346"/>
        <v>-8.3333333333333329E-2</v>
      </c>
      <c r="AF320" s="350">
        <f t="shared" si="374"/>
        <v>1285.877250354341</v>
      </c>
    </row>
    <row r="321" spans="2:32">
      <c r="B321" s="289" t="s">
        <v>589</v>
      </c>
      <c r="C321" s="289">
        <v>2021</v>
      </c>
      <c r="D321" s="289">
        <f t="shared" si="362"/>
        <v>121</v>
      </c>
      <c r="E321" s="289">
        <v>4</v>
      </c>
      <c r="F321" s="351">
        <v>0</v>
      </c>
      <c r="G321" s="344" t="s">
        <v>169</v>
      </c>
      <c r="H321" s="289">
        <v>5</v>
      </c>
      <c r="I321" s="289">
        <f t="shared" si="363"/>
        <v>126</v>
      </c>
      <c r="L321" s="350">
        <v>6059.03</v>
      </c>
      <c r="M321" s="350">
        <v>0</v>
      </c>
      <c r="N321" s="350">
        <f t="shared" si="364"/>
        <v>6059.03</v>
      </c>
      <c r="O321" s="350">
        <f t="shared" si="365"/>
        <v>100.98383333333334</v>
      </c>
      <c r="P321" s="350">
        <f t="shared" si="366"/>
        <v>1211.806</v>
      </c>
      <c r="Q321" s="350">
        <f t="shared" si="367"/>
        <v>0</v>
      </c>
      <c r="R321" s="350">
        <f t="shared" si="368"/>
        <v>1211.806</v>
      </c>
      <c r="S321" s="352">
        <f>+'WP-11 - Non-Regulated'!$K$40</f>
        <v>0.5539209822239638</v>
      </c>
      <c r="T321" s="350">
        <f t="shared" si="369"/>
        <v>671.2447697848927</v>
      </c>
      <c r="U321" s="350">
        <f t="shared" si="370"/>
        <v>2120.6605</v>
      </c>
      <c r="V321" s="350">
        <f t="shared" si="371"/>
        <v>1174.6783471235622</v>
      </c>
      <c r="W321" s="352">
        <v>1</v>
      </c>
      <c r="X321" s="350">
        <f t="shared" si="372"/>
        <v>1174.6783471235622</v>
      </c>
      <c r="Y321" s="350">
        <f t="shared" si="373"/>
        <v>1845.9231169084549</v>
      </c>
      <c r="Z321" s="350">
        <f t="shared" si="337"/>
        <v>1510.3007320160084</v>
      </c>
      <c r="AA321" s="350">
        <f t="shared" si="344"/>
        <v>121.25</v>
      </c>
      <c r="AB321" s="350">
        <f t="shared" si="19"/>
        <v>124</v>
      </c>
      <c r="AC321" s="350">
        <f t="shared" si="345"/>
        <v>126.25</v>
      </c>
      <c r="AD321" s="350">
        <f t="shared" si="20"/>
        <v>123</v>
      </c>
      <c r="AE321" s="350">
        <f t="shared" si="346"/>
        <v>-8.3333333333333329E-2</v>
      </c>
      <c r="AF321" s="350">
        <f t="shared" si="374"/>
        <v>3038.4285359679825</v>
      </c>
    </row>
    <row r="322" spans="2:32">
      <c r="B322" s="289" t="s">
        <v>588</v>
      </c>
      <c r="C322" s="289">
        <v>2021</v>
      </c>
      <c r="D322" s="289">
        <f t="shared" si="362"/>
        <v>121</v>
      </c>
      <c r="E322" s="289">
        <v>6</v>
      </c>
      <c r="F322" s="351">
        <v>0</v>
      </c>
      <c r="G322" s="344" t="s">
        <v>169</v>
      </c>
      <c r="H322" s="289">
        <v>5</v>
      </c>
      <c r="I322" s="289">
        <f t="shared" si="363"/>
        <v>126</v>
      </c>
      <c r="L322" s="350">
        <v>8455.2000000000007</v>
      </c>
      <c r="M322" s="350">
        <v>0</v>
      </c>
      <c r="N322" s="350">
        <f t="shared" si="364"/>
        <v>8455.2000000000007</v>
      </c>
      <c r="O322" s="350">
        <f t="shared" si="365"/>
        <v>140.92000000000002</v>
      </c>
      <c r="P322" s="350">
        <f t="shared" si="366"/>
        <v>1691.0400000000002</v>
      </c>
      <c r="Q322" s="350">
        <f t="shared" si="367"/>
        <v>0</v>
      </c>
      <c r="R322" s="350">
        <f t="shared" si="368"/>
        <v>1691.0400000000002</v>
      </c>
      <c r="S322" s="352">
        <f>+'WP-11 - Non-Regulated'!$K$40</f>
        <v>0.5539209822239638</v>
      </c>
      <c r="T322" s="350">
        <f t="shared" si="369"/>
        <v>936.70253778001188</v>
      </c>
      <c r="U322" s="350">
        <f t="shared" si="370"/>
        <v>2677.4799999999923</v>
      </c>
      <c r="V322" s="350">
        <f t="shared" si="371"/>
        <v>1483.1123514850144</v>
      </c>
      <c r="W322" s="352">
        <v>1</v>
      </c>
      <c r="X322" s="350">
        <f t="shared" si="372"/>
        <v>1483.1123514850144</v>
      </c>
      <c r="Y322" s="350">
        <f t="shared" si="373"/>
        <v>2419.8148892650261</v>
      </c>
      <c r="Z322" s="350">
        <f t="shared" si="337"/>
        <v>2263.6977996350329</v>
      </c>
      <c r="AA322" s="350">
        <f t="shared" si="344"/>
        <v>121.41666666666667</v>
      </c>
      <c r="AB322" s="350">
        <f t="shared" si="19"/>
        <v>124</v>
      </c>
      <c r="AC322" s="350">
        <f t="shared" si="345"/>
        <v>126.41666666666667</v>
      </c>
      <c r="AD322" s="350">
        <f t="shared" si="20"/>
        <v>123</v>
      </c>
      <c r="AE322" s="350">
        <f t="shared" si="346"/>
        <v>-8.3333333333333329E-2</v>
      </c>
      <c r="AF322" s="350">
        <f t="shared" si="374"/>
        <v>4240.0385799899486</v>
      </c>
    </row>
    <row r="323" spans="2:32">
      <c r="B323" s="289" t="s">
        <v>587</v>
      </c>
      <c r="C323" s="289">
        <v>2021</v>
      </c>
      <c r="D323" s="289">
        <f t="shared" si="362"/>
        <v>121</v>
      </c>
      <c r="E323" s="289">
        <v>11</v>
      </c>
      <c r="F323" s="351">
        <v>0</v>
      </c>
      <c r="G323" s="344" t="s">
        <v>169</v>
      </c>
      <c r="H323" s="289">
        <v>5</v>
      </c>
      <c r="I323" s="289">
        <f t="shared" si="363"/>
        <v>126</v>
      </c>
      <c r="L323" s="350">
        <v>11467.56</v>
      </c>
      <c r="M323" s="350">
        <v>0</v>
      </c>
      <c r="N323" s="350">
        <f t="shared" si="364"/>
        <v>11467.56</v>
      </c>
      <c r="O323" s="350">
        <f t="shared" si="365"/>
        <v>191.12599999999998</v>
      </c>
      <c r="P323" s="350">
        <f t="shared" si="366"/>
        <v>2293.5119999999997</v>
      </c>
      <c r="Q323" s="350">
        <f t="shared" si="367"/>
        <v>0</v>
      </c>
      <c r="R323" s="350">
        <f t="shared" si="368"/>
        <v>2293.5119999999997</v>
      </c>
      <c r="S323" s="352">
        <f>+'WP-11 - Non-Regulated'!$K$40</f>
        <v>0.5539209822239638</v>
      </c>
      <c r="T323" s="350">
        <f t="shared" si="369"/>
        <v>1270.4244197824476</v>
      </c>
      <c r="U323" s="350">
        <f t="shared" si="370"/>
        <v>2675.7640000000106</v>
      </c>
      <c r="V323" s="350">
        <f t="shared" si="371"/>
        <v>1482.1618230795282</v>
      </c>
      <c r="W323" s="352">
        <v>1</v>
      </c>
      <c r="X323" s="350">
        <f t="shared" si="372"/>
        <v>1482.1618230795282</v>
      </c>
      <c r="Y323" s="350">
        <f t="shared" si="373"/>
        <v>2752.5862428619757</v>
      </c>
      <c r="Z323" s="350">
        <f t="shared" si="337"/>
        <v>3599.5358560502627</v>
      </c>
      <c r="AA323" s="350">
        <f t="shared" si="344"/>
        <v>121.83333333333333</v>
      </c>
      <c r="AB323" s="350">
        <f t="shared" si="19"/>
        <v>124</v>
      </c>
      <c r="AC323" s="350">
        <f t="shared" si="345"/>
        <v>126.83333333333333</v>
      </c>
      <c r="AD323" s="350">
        <f t="shared" si="20"/>
        <v>123</v>
      </c>
      <c r="AE323" s="350">
        <f t="shared" si="346"/>
        <v>-8.3333333333333329E-2</v>
      </c>
      <c r="AF323" s="350">
        <f t="shared" si="374"/>
        <v>5750.6501109789842</v>
      </c>
    </row>
    <row r="324" spans="2:32">
      <c r="B324" s="289" t="s">
        <v>586</v>
      </c>
      <c r="C324" s="289">
        <v>2021</v>
      </c>
      <c r="D324" s="289">
        <f t="shared" si="362"/>
        <v>121</v>
      </c>
      <c r="E324" s="289">
        <v>2</v>
      </c>
      <c r="F324" s="351">
        <v>0</v>
      </c>
      <c r="G324" s="344" t="s">
        <v>169</v>
      </c>
      <c r="H324" s="289">
        <v>5</v>
      </c>
      <c r="I324" s="289">
        <f t="shared" si="363"/>
        <v>126</v>
      </c>
      <c r="L324" s="350">
        <v>13978.7</v>
      </c>
      <c r="M324" s="350">
        <v>0</v>
      </c>
      <c r="N324" s="350">
        <f t="shared" si="364"/>
        <v>13978.7</v>
      </c>
      <c r="O324" s="350">
        <f t="shared" si="365"/>
        <v>232.97833333333335</v>
      </c>
      <c r="P324" s="350">
        <f t="shared" si="366"/>
        <v>2795.7400000000002</v>
      </c>
      <c r="Q324" s="350">
        <f t="shared" si="367"/>
        <v>0</v>
      </c>
      <c r="R324" s="350">
        <f t="shared" si="368"/>
        <v>2795.7400000000002</v>
      </c>
      <c r="S324" s="352">
        <f>+'WP-11 - Non-Regulated'!$K$40</f>
        <v>0.5539209822239638</v>
      </c>
      <c r="T324" s="350">
        <f t="shared" si="369"/>
        <v>1548.6190468428247</v>
      </c>
      <c r="U324" s="350">
        <f t="shared" si="370"/>
        <v>5358.5016666666806</v>
      </c>
      <c r="V324" s="350">
        <f t="shared" si="371"/>
        <v>2968.1865064487547</v>
      </c>
      <c r="W324" s="352">
        <v>1</v>
      </c>
      <c r="X324" s="350">
        <f t="shared" si="372"/>
        <v>2968.1865064487547</v>
      </c>
      <c r="Y324" s="350">
        <f t="shared" si="373"/>
        <v>4516.8055532915796</v>
      </c>
      <c r="Z324" s="350">
        <f t="shared" ref="Z324" si="375">IF((N324-((AB324-AA324)*12*O324))&lt;0,0,IF(AE324&gt;0,0,(N324-((AB324-AA324)*12*(O324))))*S324)</f>
        <v>3226.289680922544</v>
      </c>
      <c r="AA324" s="350">
        <f t="shared" ref="AA324:AA330" si="376">$D324+(($E324-1)/12)</f>
        <v>121.08333333333333</v>
      </c>
      <c r="AB324" s="350">
        <f t="shared" si="19"/>
        <v>124</v>
      </c>
      <c r="AC324" s="350">
        <f t="shared" ref="AC324:AC330" si="377">$I324+(($E324-1)/12)</f>
        <v>126.08333333333333</v>
      </c>
      <c r="AD324" s="350">
        <f t="shared" si="20"/>
        <v>123</v>
      </c>
      <c r="AE324" s="350">
        <f t="shared" ref="AE324:AE330" si="378">$J324+(($K324-1)/12)</f>
        <v>-8.3333333333333329E-2</v>
      </c>
      <c r="AF324" s="350">
        <f t="shared" si="374"/>
        <v>7009.9142892072905</v>
      </c>
    </row>
    <row r="325" spans="2:32">
      <c r="B325" s="289" t="s">
        <v>690</v>
      </c>
      <c r="C325" s="289">
        <v>2022</v>
      </c>
      <c r="D325" s="289">
        <f t="shared" si="362"/>
        <v>122</v>
      </c>
      <c r="E325" s="289">
        <v>7</v>
      </c>
      <c r="F325" s="351">
        <v>0</v>
      </c>
      <c r="G325" s="344" t="s">
        <v>169</v>
      </c>
      <c r="H325" s="289">
        <v>7</v>
      </c>
      <c r="I325" s="289">
        <f t="shared" si="363"/>
        <v>129</v>
      </c>
      <c r="J325" s="289">
        <v>123</v>
      </c>
      <c r="K325" s="289">
        <v>12</v>
      </c>
      <c r="L325" s="350">
        <v>204316.2</v>
      </c>
      <c r="M325" s="350" t="s">
        <v>876</v>
      </c>
      <c r="N325" s="350">
        <f t="shared" si="364"/>
        <v>204316.2</v>
      </c>
      <c r="O325" s="350">
        <f t="shared" si="365"/>
        <v>2432.3357142857144</v>
      </c>
      <c r="P325" s="350">
        <f t="shared" si="366"/>
        <v>0</v>
      </c>
      <c r="Q325" s="350">
        <f t="shared" si="367"/>
        <v>26755.692857142996</v>
      </c>
      <c r="R325" s="350">
        <f t="shared" si="368"/>
        <v>26755.692857142996</v>
      </c>
      <c r="S325" s="352">
        <f>+'WP-11 - Non-Regulated'!$K$40</f>
        <v>0.5539209822239638</v>
      </c>
      <c r="T325" s="350">
        <f t="shared" si="369"/>
        <v>14820.539667511341</v>
      </c>
      <c r="U325" s="350">
        <f t="shared" si="370"/>
        <v>14594.014285714286</v>
      </c>
      <c r="V325" s="350">
        <f t="shared" si="371"/>
        <v>8083.9307277334165</v>
      </c>
      <c r="W325" s="352">
        <v>1</v>
      </c>
      <c r="X325" s="350">
        <f t="shared" si="372"/>
        <v>8083.9307277334165</v>
      </c>
      <c r="Y325" s="350">
        <f t="shared" si="373"/>
        <v>0</v>
      </c>
      <c r="Z325" s="350">
        <f>IF((N325-((AB325-AA325)*12*O325))&lt;0,0,IF(AE325&gt;0,0,(N325-((AB325-AA325)*12*(O325))))*S325)</f>
        <v>0</v>
      </c>
      <c r="AA325" s="350">
        <f t="shared" si="376"/>
        <v>122.5</v>
      </c>
      <c r="AB325" s="350">
        <f t="shared" si="19"/>
        <v>124</v>
      </c>
      <c r="AC325" s="350">
        <f t="shared" si="377"/>
        <v>129.5</v>
      </c>
      <c r="AD325" s="350">
        <f t="shared" si="20"/>
        <v>123</v>
      </c>
      <c r="AE325" s="350">
        <f t="shared" si="378"/>
        <v>123.91666666666667</v>
      </c>
      <c r="AF325" s="350">
        <f t="shared" si="374"/>
        <v>200274.2346361333</v>
      </c>
    </row>
    <row r="326" spans="2:32">
      <c r="B326" s="289" t="s">
        <v>691</v>
      </c>
      <c r="C326" s="289">
        <v>2022</v>
      </c>
      <c r="D326" s="289">
        <f t="shared" si="362"/>
        <v>122</v>
      </c>
      <c r="E326" s="289">
        <v>7</v>
      </c>
      <c r="F326" s="351">
        <v>0</v>
      </c>
      <c r="G326" s="344" t="s">
        <v>169</v>
      </c>
      <c r="H326" s="289">
        <v>7</v>
      </c>
      <c r="I326" s="289">
        <f t="shared" si="363"/>
        <v>129</v>
      </c>
      <c r="L326" s="350">
        <v>166958.24</v>
      </c>
      <c r="M326" s="350">
        <v>0</v>
      </c>
      <c r="N326" s="350">
        <f t="shared" si="364"/>
        <v>166958.24</v>
      </c>
      <c r="O326" s="350">
        <f t="shared" si="365"/>
        <v>1987.5980952380951</v>
      </c>
      <c r="P326" s="350">
        <f t="shared" si="366"/>
        <v>23851.177142857141</v>
      </c>
      <c r="Q326" s="350">
        <f t="shared" si="367"/>
        <v>0</v>
      </c>
      <c r="R326" s="350">
        <f t="shared" si="368"/>
        <v>23851.177142857141</v>
      </c>
      <c r="S326" s="352">
        <f>+'WP-11 - Non-Regulated'!$K$40</f>
        <v>0.5539209822239638</v>
      </c>
      <c r="T326" s="350">
        <f t="shared" si="369"/>
        <v>13211.667470169183</v>
      </c>
      <c r="U326" s="350">
        <f t="shared" si="370"/>
        <v>11925.588571428571</v>
      </c>
      <c r="V326" s="350">
        <f t="shared" si="371"/>
        <v>6605.8337350845914</v>
      </c>
      <c r="W326" s="352">
        <v>1</v>
      </c>
      <c r="X326" s="350">
        <f t="shared" si="372"/>
        <v>6605.8337350845914</v>
      </c>
      <c r="Y326" s="350">
        <f t="shared" si="373"/>
        <v>19817.501205253775</v>
      </c>
      <c r="Z326" s="350">
        <f t="shared" ref="Z326:Z371" si="379">IF((N326-((AB326-AA326)*12*O326))&lt;0,0,IF(AE326&gt;0,0,(N326-((AB326-AA326)*12*(O326))))*S326)</f>
        <v>72664.171085930502</v>
      </c>
      <c r="AA326" s="350">
        <f t="shared" si="376"/>
        <v>122.5</v>
      </c>
      <c r="AB326" s="350">
        <f t="shared" si="19"/>
        <v>124</v>
      </c>
      <c r="AC326" s="350">
        <f t="shared" si="377"/>
        <v>129.5</v>
      </c>
      <c r="AD326" s="350">
        <f t="shared" si="20"/>
        <v>123</v>
      </c>
      <c r="AE326" s="350">
        <f t="shared" si="378"/>
        <v>-8.3333333333333329E-2</v>
      </c>
      <c r="AF326" s="350">
        <f t="shared" si="374"/>
        <v>81082.401443900293</v>
      </c>
    </row>
    <row r="327" spans="2:32">
      <c r="B327" s="289" t="s">
        <v>1225</v>
      </c>
      <c r="C327" s="289">
        <v>2022</v>
      </c>
      <c r="D327" s="289">
        <f t="shared" si="362"/>
        <v>122</v>
      </c>
      <c r="E327" s="289">
        <v>4</v>
      </c>
      <c r="F327" s="351">
        <v>0</v>
      </c>
      <c r="G327" s="344" t="s">
        <v>169</v>
      </c>
      <c r="H327" s="289">
        <v>7</v>
      </c>
      <c r="I327" s="289">
        <f t="shared" si="363"/>
        <v>129</v>
      </c>
      <c r="L327" s="350">
        <v>137628.54</v>
      </c>
      <c r="M327" s="350">
        <v>0</v>
      </c>
      <c r="N327" s="350">
        <f t="shared" si="364"/>
        <v>137628.54</v>
      </c>
      <c r="O327" s="350">
        <f t="shared" si="365"/>
        <v>1638.4350000000002</v>
      </c>
      <c r="P327" s="350">
        <f t="shared" si="366"/>
        <v>19661.22</v>
      </c>
      <c r="Q327" s="350">
        <f t="shared" si="367"/>
        <v>0</v>
      </c>
      <c r="R327" s="350">
        <f t="shared" si="368"/>
        <v>19661.22</v>
      </c>
      <c r="S327" s="352">
        <f>+S288</f>
        <v>0.45392098222396382</v>
      </c>
      <c r="T327" s="350">
        <f t="shared" si="369"/>
        <v>8924.6402941214419</v>
      </c>
      <c r="U327" s="350">
        <f t="shared" si="370"/>
        <v>14745.915000000001</v>
      </c>
      <c r="V327" s="350">
        <f t="shared" si="371"/>
        <v>6693.4802205910819</v>
      </c>
      <c r="W327" s="352">
        <v>1</v>
      </c>
      <c r="X327" s="350">
        <f t="shared" si="372"/>
        <v>6693.4802205910819</v>
      </c>
      <c r="Y327" s="350">
        <f t="shared" si="373"/>
        <v>15618.120514712524</v>
      </c>
      <c r="Z327" s="350">
        <f t="shared" si="379"/>
        <v>46854.361544137573</v>
      </c>
      <c r="AA327" s="350">
        <f t="shared" si="376"/>
        <v>122.25</v>
      </c>
      <c r="AB327" s="350">
        <f t="shared" si="19"/>
        <v>124</v>
      </c>
      <c r="AC327" s="350">
        <f t="shared" si="377"/>
        <v>129.25</v>
      </c>
      <c r="AD327" s="350">
        <f t="shared" si="20"/>
        <v>123</v>
      </c>
      <c r="AE327" s="350">
        <f t="shared" si="378"/>
        <v>-8.3333333333333329E-2</v>
      </c>
      <c r="AF327" s="350">
        <f t="shared" si="374"/>
        <v>79618.378088210637</v>
      </c>
    </row>
    <row r="328" spans="2:32">
      <c r="B328" s="289" t="s">
        <v>1226</v>
      </c>
      <c r="C328" s="289">
        <v>2022</v>
      </c>
      <c r="D328" s="289">
        <f t="shared" si="362"/>
        <v>122</v>
      </c>
      <c r="E328" s="289">
        <v>4</v>
      </c>
      <c r="F328" s="351">
        <v>0</v>
      </c>
      <c r="G328" s="344" t="s">
        <v>169</v>
      </c>
      <c r="H328" s="289">
        <v>7</v>
      </c>
      <c r="I328" s="289">
        <f t="shared" si="363"/>
        <v>129</v>
      </c>
      <c r="L328" s="350">
        <v>137628.54</v>
      </c>
      <c r="M328" s="350">
        <v>0</v>
      </c>
      <c r="N328" s="350">
        <f t="shared" si="364"/>
        <v>137628.54</v>
      </c>
      <c r="O328" s="350">
        <f t="shared" si="365"/>
        <v>1638.4350000000002</v>
      </c>
      <c r="P328" s="350">
        <f t="shared" si="366"/>
        <v>19661.22</v>
      </c>
      <c r="Q328" s="350">
        <f t="shared" si="367"/>
        <v>0</v>
      </c>
      <c r="R328" s="350">
        <f t="shared" si="368"/>
        <v>19661.22</v>
      </c>
      <c r="S328" s="352">
        <f>+S327</f>
        <v>0.45392098222396382</v>
      </c>
      <c r="T328" s="350">
        <f t="shared" si="369"/>
        <v>8924.6402941214419</v>
      </c>
      <c r="U328" s="350">
        <f t="shared" si="370"/>
        <v>14745.915000000001</v>
      </c>
      <c r="V328" s="350">
        <f t="shared" si="371"/>
        <v>6693.4802205910819</v>
      </c>
      <c r="W328" s="352">
        <v>1</v>
      </c>
      <c r="X328" s="350">
        <f t="shared" si="372"/>
        <v>6693.4802205910819</v>
      </c>
      <c r="Y328" s="350">
        <f t="shared" si="373"/>
        <v>15618.120514712524</v>
      </c>
      <c r="Z328" s="350">
        <f t="shared" si="379"/>
        <v>46854.361544137573</v>
      </c>
      <c r="AA328" s="350">
        <f t="shared" si="376"/>
        <v>122.25</v>
      </c>
      <c r="AB328" s="350">
        <f t="shared" si="19"/>
        <v>124</v>
      </c>
      <c r="AC328" s="350">
        <f t="shared" si="377"/>
        <v>129.25</v>
      </c>
      <c r="AD328" s="350">
        <f t="shared" si="20"/>
        <v>123</v>
      </c>
      <c r="AE328" s="350">
        <f t="shared" si="378"/>
        <v>-8.3333333333333329E-2</v>
      </c>
      <c r="AF328" s="350">
        <f t="shared" si="374"/>
        <v>79618.378088210637</v>
      </c>
    </row>
    <row r="329" spans="2:32">
      <c r="B329" s="289" t="s">
        <v>861</v>
      </c>
      <c r="C329" s="289">
        <v>2022</v>
      </c>
      <c r="D329" s="289">
        <f t="shared" ref="D329:D371" si="380">+C329-1900</f>
        <v>122</v>
      </c>
      <c r="E329" s="289">
        <v>7</v>
      </c>
      <c r="F329" s="351">
        <v>0</v>
      </c>
      <c r="G329" s="344" t="s">
        <v>169</v>
      </c>
      <c r="H329" s="289">
        <v>7</v>
      </c>
      <c r="I329" s="289">
        <f t="shared" ref="I329:I371" si="381">D329+H329</f>
        <v>129</v>
      </c>
      <c r="J329" s="289">
        <v>123</v>
      </c>
      <c r="K329" s="289">
        <v>12</v>
      </c>
      <c r="L329" s="350">
        <v>155075.79</v>
      </c>
      <c r="M329" s="350" t="s">
        <v>876</v>
      </c>
      <c r="N329" s="350">
        <f t="shared" ref="N329:N331" si="382">L329-(+L329*F329)</f>
        <v>155075.79</v>
      </c>
      <c r="O329" s="350">
        <f t="shared" ref="O329:O331" si="383">N329/H329/12</f>
        <v>1846.1403571428573</v>
      </c>
      <c r="P329" s="350">
        <f t="shared" ref="P329:P331" si="384">IF(Q329&gt;0,0,IF(OR(AA329&gt;AB329,AC329&lt;AD329),0,IF(AND(AC329&gt;=AD329,AC329&lt;=AB329),O329*((AC329-AD329)*12),IF(AND(AD329&lt;=AA329,AB329&gt;=AA329),((AB329-AA329)*12)*O329,IF(AC329&gt;AB329,12*O329,0)))))</f>
        <v>0</v>
      </c>
      <c r="Q329" s="350">
        <f t="shared" ref="Q329:Q331" si="385">IF(M329=0,0,IF(AND(AE329&gt;=AD329,AE329&lt;=AC329),((AE329-AD329)*12)*O329,0))</f>
        <v>20307.543928571537</v>
      </c>
      <c r="R329" s="350">
        <f t="shared" ref="R329:R331" si="386">IF(Q329&gt;0,Q329,P329)</f>
        <v>20307.543928571537</v>
      </c>
      <c r="S329" s="352">
        <f>+'WP-11 - Non-Regulated'!$K$40</f>
        <v>0.5539209822239638</v>
      </c>
      <c r="T329" s="350">
        <f t="shared" ref="T329:T331" si="387">S329*SUM(P329:Q329)</f>
        <v>11248.774679470638</v>
      </c>
      <c r="U329" s="350">
        <f t="shared" ref="U329:U331" si="388">IF(AA329&gt;AB329,0,IF(AC329&lt;AD329,N329,IF(AND(AC329&gt;=AD329,AC329&lt;=AB329),(N329-R329),IF(AND(AD329&lt;=AA329,AB329&gt;=AA329),0,IF(AC329&gt;AB329,((AD329-AA329)*12)*O329,0)))))</f>
        <v>11076.842142857144</v>
      </c>
      <c r="V329" s="350">
        <f t="shared" ref="V329:V331" si="389">U329*S329</f>
        <v>6135.6952797112253</v>
      </c>
      <c r="W329" s="352">
        <v>1</v>
      </c>
      <c r="X329" s="350">
        <f t="shared" ref="X329:X331" si="390">V329*W329</f>
        <v>6135.6952797112253</v>
      </c>
      <c r="Y329" s="350">
        <f t="shared" ref="Y329:Y331" si="391">IF(M329&gt;0,0,X329+T329*W329)*W329</f>
        <v>0</v>
      </c>
      <c r="Z329" s="350">
        <f t="shared" si="379"/>
        <v>0</v>
      </c>
      <c r="AA329" s="350">
        <f t="shared" si="376"/>
        <v>122.5</v>
      </c>
      <c r="AB329" s="350">
        <f t="shared" si="19"/>
        <v>124</v>
      </c>
      <c r="AC329" s="350">
        <f t="shared" si="377"/>
        <v>129.5</v>
      </c>
      <c r="AD329" s="350">
        <f t="shared" si="20"/>
        <v>123</v>
      </c>
      <c r="AE329" s="350">
        <f t="shared" si="378"/>
        <v>123.91666666666667</v>
      </c>
      <c r="AF329" s="350">
        <f t="shared" ref="AF329:AF331" si="392">L329-((X329+Y329)/2)-Z329</f>
        <v>152007.9423601444</v>
      </c>
    </row>
    <row r="330" spans="2:32">
      <c r="B330" s="289" t="s">
        <v>862</v>
      </c>
      <c r="C330" s="289">
        <v>2022</v>
      </c>
      <c r="D330" s="289">
        <f t="shared" si="380"/>
        <v>122</v>
      </c>
      <c r="E330" s="289">
        <v>7</v>
      </c>
      <c r="F330" s="351">
        <v>0</v>
      </c>
      <c r="G330" s="344" t="s">
        <v>169</v>
      </c>
      <c r="H330" s="289">
        <v>7</v>
      </c>
      <c r="I330" s="289">
        <f t="shared" si="381"/>
        <v>129</v>
      </c>
      <c r="L330" s="350">
        <v>77285.240000000005</v>
      </c>
      <c r="M330" s="350"/>
      <c r="N330" s="350">
        <f t="shared" si="382"/>
        <v>77285.240000000005</v>
      </c>
      <c r="O330" s="350">
        <f t="shared" si="383"/>
        <v>920.06238095238098</v>
      </c>
      <c r="P330" s="350">
        <f t="shared" si="384"/>
        <v>11040.748571428572</v>
      </c>
      <c r="Q330" s="350">
        <f t="shared" si="385"/>
        <v>0</v>
      </c>
      <c r="R330" s="350">
        <f t="shared" si="386"/>
        <v>11040.748571428572</v>
      </c>
      <c r="S330" s="352">
        <f>+'WP-11 - Non-Regulated'!$K$40</f>
        <v>0.5539209822239638</v>
      </c>
      <c r="T330" s="350">
        <f t="shared" si="387"/>
        <v>6115.7022931735401</v>
      </c>
      <c r="U330" s="350">
        <f t="shared" si="388"/>
        <v>5520.3742857142861</v>
      </c>
      <c r="V330" s="350">
        <f t="shared" si="389"/>
        <v>3057.85114658677</v>
      </c>
      <c r="W330" s="352">
        <v>1</v>
      </c>
      <c r="X330" s="350">
        <f t="shared" si="390"/>
        <v>3057.85114658677</v>
      </c>
      <c r="Y330" s="350">
        <f t="shared" si="391"/>
        <v>9173.5534397603096</v>
      </c>
      <c r="Z330" s="350">
        <f t="shared" si="379"/>
        <v>33636.362612454468</v>
      </c>
      <c r="AA330" s="350">
        <f t="shared" si="376"/>
        <v>122.5</v>
      </c>
      <c r="AB330" s="350">
        <f t="shared" si="19"/>
        <v>124</v>
      </c>
      <c r="AC330" s="350">
        <f t="shared" si="377"/>
        <v>129.5</v>
      </c>
      <c r="AD330" s="350">
        <f t="shared" si="20"/>
        <v>123</v>
      </c>
      <c r="AE330" s="350">
        <f t="shared" si="378"/>
        <v>-8.3333333333333329E-2</v>
      </c>
      <c r="AF330" s="350">
        <f t="shared" si="392"/>
        <v>37533.175094371996</v>
      </c>
    </row>
    <row r="331" spans="2:32">
      <c r="B331" s="845" t="s">
        <v>1227</v>
      </c>
      <c r="C331" s="289">
        <v>2023</v>
      </c>
      <c r="D331" s="289">
        <f t="shared" si="380"/>
        <v>123</v>
      </c>
      <c r="E331" s="289">
        <v>9</v>
      </c>
      <c r="F331" s="351">
        <v>0</v>
      </c>
      <c r="G331" s="344" t="s">
        <v>169</v>
      </c>
      <c r="H331" s="289">
        <v>7</v>
      </c>
      <c r="I331" s="289">
        <f t="shared" si="381"/>
        <v>130</v>
      </c>
      <c r="L331" s="846">
        <v>227997.03</v>
      </c>
      <c r="M331" s="350"/>
      <c r="N331" s="350">
        <f t="shared" si="382"/>
        <v>227997.03</v>
      </c>
      <c r="O331" s="350">
        <f t="shared" si="383"/>
        <v>2714.2503571428574</v>
      </c>
      <c r="P331" s="350">
        <f t="shared" si="384"/>
        <v>10857.001428571275</v>
      </c>
      <c r="Q331" s="350">
        <f t="shared" si="385"/>
        <v>0</v>
      </c>
      <c r="R331" s="350">
        <f t="shared" si="386"/>
        <v>10857.001428571275</v>
      </c>
      <c r="S331" s="352">
        <f>+'WP-11 - Non-Regulated'!$K$40</f>
        <v>0.5539209822239638</v>
      </c>
      <c r="T331" s="350">
        <f t="shared" si="387"/>
        <v>6013.9208953211792</v>
      </c>
      <c r="U331" s="350">
        <f t="shared" si="388"/>
        <v>0</v>
      </c>
      <c r="V331" s="350">
        <f t="shared" si="389"/>
        <v>0</v>
      </c>
      <c r="W331" s="352">
        <v>1</v>
      </c>
      <c r="X331" s="350">
        <f t="shared" si="390"/>
        <v>0</v>
      </c>
      <c r="Y331" s="350">
        <f t="shared" si="391"/>
        <v>6013.9208953211792</v>
      </c>
      <c r="Z331" s="350">
        <f t="shared" si="379"/>
        <v>120278.41790642537</v>
      </c>
      <c r="AA331" s="350">
        <f t="shared" ref="AA331:AA371" si="393">$D331+(($E331-1)/12)</f>
        <v>123.66666666666667</v>
      </c>
      <c r="AB331" s="350">
        <f t="shared" si="19"/>
        <v>124</v>
      </c>
      <c r="AC331" s="350">
        <f t="shared" ref="AC331:AC371" si="394">$I331+(($E331-1)/12)</f>
        <v>130.66666666666666</v>
      </c>
      <c r="AD331" s="350">
        <f t="shared" si="20"/>
        <v>123</v>
      </c>
      <c r="AE331" s="350">
        <f t="shared" ref="AE331:AE371" si="395">$J331+(($K331-1)/12)</f>
        <v>-8.3333333333333329E-2</v>
      </c>
      <c r="AF331" s="350">
        <f t="shared" si="392"/>
        <v>104711.65164591404</v>
      </c>
    </row>
    <row r="332" spans="2:32">
      <c r="B332" s="841" t="s">
        <v>1228</v>
      </c>
      <c r="C332" s="289">
        <v>2022</v>
      </c>
      <c r="D332" s="289">
        <f t="shared" si="380"/>
        <v>122</v>
      </c>
      <c r="E332" s="289">
        <v>1</v>
      </c>
      <c r="F332" s="351">
        <v>0</v>
      </c>
      <c r="G332" s="344" t="s">
        <v>169</v>
      </c>
      <c r="H332" s="289">
        <v>5</v>
      </c>
      <c r="I332" s="289">
        <f t="shared" si="381"/>
        <v>127</v>
      </c>
      <c r="L332" s="843">
        <v>5828.4</v>
      </c>
      <c r="M332" s="350"/>
      <c r="N332" s="350">
        <f t="shared" ref="N332:N371" si="396">L332-(+L332*F332)</f>
        <v>5828.4</v>
      </c>
      <c r="O332" s="350">
        <f t="shared" ref="O332:O371" si="397">N332/H332/12</f>
        <v>97.139999999999986</v>
      </c>
      <c r="P332" s="350">
        <f t="shared" ref="P332:P363" si="398">IF(Q332&gt;0,0,IF(OR(AA332&gt;AB332,AC332&lt;AD332),0,IF(AND(AC332&gt;=AD332,AC332&lt;=AB332),O332*((AC332-AD332)*12),IF(AND(AD332&lt;=AA332,AB332&gt;=AA332),((AB332-AA332)*12)*O332,IF(AC332&gt;AB332,12*O332,0)))))</f>
        <v>1165.6799999999998</v>
      </c>
      <c r="Q332" s="350">
        <f t="shared" ref="Q332:Q363" si="399">IF(M332=0,0,IF(AND(AE332&gt;=AD332,AE332&lt;=AC332),((AE332-AD332)*12)*O332,0))</f>
        <v>0</v>
      </c>
      <c r="R332" s="350">
        <f t="shared" ref="R332:R363" si="400">IF(Q332&gt;0,Q332,P332)</f>
        <v>1165.6799999999998</v>
      </c>
      <c r="S332" s="352">
        <f>+'WP-11 - Non-Regulated'!$K$40</f>
        <v>0.5539209822239638</v>
      </c>
      <c r="T332" s="350">
        <f t="shared" ref="T332:T363" si="401">S332*SUM(P332:Q332)</f>
        <v>645.69461055883005</v>
      </c>
      <c r="U332" s="350">
        <f t="shared" ref="U332:U363" si="402">IF(AA332&gt;AB332,0,IF(AC332&lt;AD332,N332,IF(AND(AC332&gt;=AD332,AC332&lt;=AB332),(N332-R332),IF(AND(AD332&lt;=AA332,AB332&gt;=AA332),0,IF(AC332&gt;AB332,((AD332-AA332)*12)*O332,0)))))</f>
        <v>1165.6799999999998</v>
      </c>
      <c r="V332" s="350">
        <f t="shared" ref="V332:V363" si="403">U332*S332</f>
        <v>645.69461055883005</v>
      </c>
      <c r="W332" s="352">
        <v>1</v>
      </c>
      <c r="X332" s="350">
        <f t="shared" ref="X332:X363" si="404">V332*W332</f>
        <v>645.69461055883005</v>
      </c>
      <c r="Y332" s="350">
        <f t="shared" ref="Y332:Y363" si="405">IF(M332&gt;0,0,X332+T332*W332)*W332</f>
        <v>1291.3892211176601</v>
      </c>
      <c r="Z332" s="350">
        <f t="shared" si="379"/>
        <v>1937.0838316764903</v>
      </c>
      <c r="AA332" s="350">
        <f t="shared" si="393"/>
        <v>122</v>
      </c>
      <c r="AB332" s="350">
        <f t="shared" si="19"/>
        <v>124</v>
      </c>
      <c r="AC332" s="350">
        <f t="shared" si="394"/>
        <v>127</v>
      </c>
      <c r="AD332" s="350">
        <f t="shared" si="20"/>
        <v>123</v>
      </c>
      <c r="AE332" s="350">
        <f t="shared" si="395"/>
        <v>-8.3333333333333329E-2</v>
      </c>
      <c r="AF332" s="350">
        <f t="shared" ref="AF332:AF363" si="406">L332-((X332+Y332)/2)-Z332</f>
        <v>2922.7742524852647</v>
      </c>
    </row>
    <row r="333" spans="2:32">
      <c r="B333" s="841" t="s">
        <v>1229</v>
      </c>
      <c r="C333" s="289">
        <v>2022</v>
      </c>
      <c r="D333" s="289">
        <f t="shared" si="380"/>
        <v>122</v>
      </c>
      <c r="E333" s="289">
        <v>1</v>
      </c>
      <c r="F333" s="351">
        <v>0</v>
      </c>
      <c r="G333" s="344" t="s">
        <v>169</v>
      </c>
      <c r="H333" s="289">
        <v>5</v>
      </c>
      <c r="I333" s="289">
        <f t="shared" si="381"/>
        <v>127</v>
      </c>
      <c r="L333" s="843">
        <v>5863.72</v>
      </c>
      <c r="M333" s="350"/>
      <c r="N333" s="350">
        <f t="shared" si="396"/>
        <v>5863.72</v>
      </c>
      <c r="O333" s="350">
        <f t="shared" si="397"/>
        <v>97.728666666666683</v>
      </c>
      <c r="P333" s="350">
        <f t="shared" si="398"/>
        <v>1172.7440000000001</v>
      </c>
      <c r="Q333" s="350">
        <f t="shared" si="399"/>
        <v>0</v>
      </c>
      <c r="R333" s="350">
        <f t="shared" si="400"/>
        <v>1172.7440000000001</v>
      </c>
      <c r="S333" s="352">
        <f>+'WP-11 - Non-Regulated'!$K$40</f>
        <v>0.5539209822239638</v>
      </c>
      <c r="T333" s="350">
        <f t="shared" si="401"/>
        <v>649.60750837726027</v>
      </c>
      <c r="U333" s="350">
        <f t="shared" si="402"/>
        <v>1172.7440000000001</v>
      </c>
      <c r="V333" s="350">
        <f t="shared" si="403"/>
        <v>649.60750837726027</v>
      </c>
      <c r="W333" s="352">
        <v>1</v>
      </c>
      <c r="X333" s="350">
        <f t="shared" si="404"/>
        <v>649.60750837726027</v>
      </c>
      <c r="Y333" s="350">
        <f t="shared" si="405"/>
        <v>1299.2150167545205</v>
      </c>
      <c r="Z333" s="350">
        <f t="shared" si="379"/>
        <v>1948.8225251317806</v>
      </c>
      <c r="AA333" s="350">
        <f t="shared" si="393"/>
        <v>122</v>
      </c>
      <c r="AB333" s="350">
        <f t="shared" si="19"/>
        <v>124</v>
      </c>
      <c r="AC333" s="350">
        <f t="shared" si="394"/>
        <v>127</v>
      </c>
      <c r="AD333" s="350">
        <f t="shared" si="20"/>
        <v>123</v>
      </c>
      <c r="AE333" s="350">
        <f t="shared" si="395"/>
        <v>-8.3333333333333329E-2</v>
      </c>
      <c r="AF333" s="350">
        <f t="shared" si="406"/>
        <v>2940.4862123023295</v>
      </c>
    </row>
    <row r="334" spans="2:32">
      <c r="B334" s="841" t="s">
        <v>1230</v>
      </c>
      <c r="C334" s="289">
        <v>2022</v>
      </c>
      <c r="D334" s="289">
        <f t="shared" si="380"/>
        <v>122</v>
      </c>
      <c r="E334" s="289">
        <v>5</v>
      </c>
      <c r="F334" s="351">
        <v>0</v>
      </c>
      <c r="G334" s="344" t="s">
        <v>169</v>
      </c>
      <c r="H334" s="289">
        <v>5</v>
      </c>
      <c r="I334" s="289">
        <f t="shared" si="381"/>
        <v>127</v>
      </c>
      <c r="L334" s="843">
        <v>6203.72</v>
      </c>
      <c r="M334" s="350"/>
      <c r="N334" s="350">
        <f t="shared" si="396"/>
        <v>6203.72</v>
      </c>
      <c r="O334" s="350">
        <f t="shared" si="397"/>
        <v>103.39533333333334</v>
      </c>
      <c r="P334" s="350">
        <f t="shared" si="398"/>
        <v>1240.7440000000001</v>
      </c>
      <c r="Q334" s="350">
        <f t="shared" si="399"/>
        <v>0</v>
      </c>
      <c r="R334" s="350">
        <f t="shared" si="400"/>
        <v>1240.7440000000001</v>
      </c>
      <c r="S334" s="352">
        <f>+'WP-11 - Non-Regulated'!$K$40</f>
        <v>0.5539209822239638</v>
      </c>
      <c r="T334" s="350">
        <f t="shared" si="401"/>
        <v>687.27413516848981</v>
      </c>
      <c r="U334" s="350">
        <f t="shared" si="402"/>
        <v>827.16266666667264</v>
      </c>
      <c r="V334" s="350">
        <f t="shared" si="403"/>
        <v>458.18275677899646</v>
      </c>
      <c r="W334" s="352">
        <v>1</v>
      </c>
      <c r="X334" s="350">
        <f t="shared" si="404"/>
        <v>458.18275677899646</v>
      </c>
      <c r="Y334" s="350">
        <f t="shared" si="405"/>
        <v>1145.4568919474864</v>
      </c>
      <c r="Z334" s="350">
        <f t="shared" si="379"/>
        <v>2290.9137838949628</v>
      </c>
      <c r="AA334" s="350">
        <f t="shared" si="393"/>
        <v>122.33333333333333</v>
      </c>
      <c r="AB334" s="350">
        <f t="shared" si="19"/>
        <v>124</v>
      </c>
      <c r="AC334" s="350">
        <f t="shared" si="394"/>
        <v>127.33333333333333</v>
      </c>
      <c r="AD334" s="350">
        <f t="shared" si="20"/>
        <v>123</v>
      </c>
      <c r="AE334" s="350">
        <f t="shared" si="395"/>
        <v>-8.3333333333333329E-2</v>
      </c>
      <c r="AF334" s="350">
        <f t="shared" si="406"/>
        <v>3110.9863917417961</v>
      </c>
    </row>
    <row r="335" spans="2:32">
      <c r="B335" s="841" t="s">
        <v>1231</v>
      </c>
      <c r="C335" s="289">
        <v>2022</v>
      </c>
      <c r="D335" s="289">
        <f t="shared" si="380"/>
        <v>122</v>
      </c>
      <c r="E335" s="289">
        <v>12</v>
      </c>
      <c r="F335" s="351">
        <v>0</v>
      </c>
      <c r="G335" s="344" t="s">
        <v>169</v>
      </c>
      <c r="H335" s="289">
        <v>5</v>
      </c>
      <c r="I335" s="289">
        <f t="shared" si="381"/>
        <v>127</v>
      </c>
      <c r="L335" s="843">
        <v>7091.38</v>
      </c>
      <c r="M335" s="350"/>
      <c r="N335" s="350">
        <f t="shared" si="396"/>
        <v>7091.38</v>
      </c>
      <c r="O335" s="350">
        <f t="shared" si="397"/>
        <v>118.18966666666667</v>
      </c>
      <c r="P335" s="350">
        <f t="shared" si="398"/>
        <v>1418.2760000000001</v>
      </c>
      <c r="Q335" s="350">
        <f t="shared" si="399"/>
        <v>0</v>
      </c>
      <c r="R335" s="350">
        <f t="shared" si="400"/>
        <v>1418.2760000000001</v>
      </c>
      <c r="S335" s="352">
        <f>+'WP-11 - Non-Regulated'!$K$40</f>
        <v>0.5539209822239638</v>
      </c>
      <c r="T335" s="350">
        <f t="shared" si="401"/>
        <v>785.61283498467446</v>
      </c>
      <c r="U335" s="350">
        <f t="shared" si="402"/>
        <v>118.18966666665995</v>
      </c>
      <c r="V335" s="350">
        <f t="shared" si="403"/>
        <v>65.467736248719149</v>
      </c>
      <c r="W335" s="352">
        <v>1</v>
      </c>
      <c r="X335" s="350">
        <f t="shared" si="404"/>
        <v>65.467736248719149</v>
      </c>
      <c r="Y335" s="350">
        <f t="shared" si="405"/>
        <v>851.08057123339358</v>
      </c>
      <c r="Z335" s="350">
        <f t="shared" si="379"/>
        <v>3076.9836036899792</v>
      </c>
      <c r="AA335" s="350">
        <f t="shared" si="393"/>
        <v>122.91666666666667</v>
      </c>
      <c r="AB335" s="350">
        <f t="shared" si="19"/>
        <v>124</v>
      </c>
      <c r="AC335" s="350">
        <f t="shared" si="394"/>
        <v>127.91666666666667</v>
      </c>
      <c r="AD335" s="350">
        <f t="shared" si="20"/>
        <v>123</v>
      </c>
      <c r="AE335" s="350">
        <f t="shared" si="395"/>
        <v>-8.3333333333333329E-2</v>
      </c>
      <c r="AF335" s="350">
        <f t="shared" si="406"/>
        <v>3556.1222425689643</v>
      </c>
    </row>
    <row r="336" spans="2:32">
      <c r="B336" s="841" t="s">
        <v>1232</v>
      </c>
      <c r="C336" s="289">
        <v>2022</v>
      </c>
      <c r="D336" s="289">
        <f t="shared" si="380"/>
        <v>122</v>
      </c>
      <c r="E336" s="289">
        <v>6</v>
      </c>
      <c r="F336" s="351">
        <v>0</v>
      </c>
      <c r="G336" s="344" t="s">
        <v>169</v>
      </c>
      <c r="H336" s="289">
        <v>5</v>
      </c>
      <c r="I336" s="289">
        <f t="shared" si="381"/>
        <v>127</v>
      </c>
      <c r="L336" s="843">
        <v>10517.37</v>
      </c>
      <c r="M336" s="350"/>
      <c r="N336" s="350">
        <f t="shared" si="396"/>
        <v>10517.37</v>
      </c>
      <c r="O336" s="350">
        <f t="shared" si="397"/>
        <v>175.2895</v>
      </c>
      <c r="P336" s="350">
        <f t="shared" si="398"/>
        <v>2103.4740000000002</v>
      </c>
      <c r="Q336" s="350">
        <f t="shared" si="399"/>
        <v>0</v>
      </c>
      <c r="R336" s="350">
        <f t="shared" si="400"/>
        <v>2103.4740000000002</v>
      </c>
      <c r="S336" s="352">
        <f>+'WP-11 - Non-Regulated'!$K$40</f>
        <v>0.5539209822239638</v>
      </c>
      <c r="T336" s="350">
        <f t="shared" si="401"/>
        <v>1165.1583841625702</v>
      </c>
      <c r="U336" s="350">
        <f t="shared" si="402"/>
        <v>1227.0264999999902</v>
      </c>
      <c r="V336" s="350">
        <f t="shared" si="403"/>
        <v>679.67572409482705</v>
      </c>
      <c r="W336" s="352">
        <v>1</v>
      </c>
      <c r="X336" s="350">
        <f t="shared" si="404"/>
        <v>679.67572409482705</v>
      </c>
      <c r="Y336" s="350">
        <f t="shared" si="405"/>
        <v>1844.8341082573972</v>
      </c>
      <c r="Z336" s="350">
        <f t="shared" si="379"/>
        <v>3980.9578125554535</v>
      </c>
      <c r="AA336" s="350">
        <f t="shared" si="393"/>
        <v>122.41666666666667</v>
      </c>
      <c r="AB336" s="350">
        <f t="shared" si="19"/>
        <v>124</v>
      </c>
      <c r="AC336" s="350">
        <f t="shared" si="394"/>
        <v>127.41666666666667</v>
      </c>
      <c r="AD336" s="350">
        <f t="shared" si="20"/>
        <v>123</v>
      </c>
      <c r="AE336" s="350">
        <f t="shared" si="395"/>
        <v>-8.3333333333333329E-2</v>
      </c>
      <c r="AF336" s="350">
        <f t="shared" si="406"/>
        <v>5274.1572712684347</v>
      </c>
    </row>
    <row r="337" spans="2:32">
      <c r="B337" s="841" t="s">
        <v>1233</v>
      </c>
      <c r="C337" s="289">
        <v>2022</v>
      </c>
      <c r="D337" s="289">
        <f t="shared" si="380"/>
        <v>122</v>
      </c>
      <c r="E337" s="289">
        <v>1</v>
      </c>
      <c r="F337" s="351">
        <v>0</v>
      </c>
      <c r="G337" s="344" t="s">
        <v>169</v>
      </c>
      <c r="H337" s="289">
        <v>5</v>
      </c>
      <c r="I337" s="289">
        <f t="shared" si="381"/>
        <v>127</v>
      </c>
      <c r="L337" s="843">
        <v>10781.76</v>
      </c>
      <c r="M337" s="350"/>
      <c r="N337" s="350">
        <f t="shared" si="396"/>
        <v>10781.76</v>
      </c>
      <c r="O337" s="350">
        <f t="shared" si="397"/>
        <v>179.696</v>
      </c>
      <c r="P337" s="350">
        <f t="shared" si="398"/>
        <v>2156.3519999999999</v>
      </c>
      <c r="Q337" s="350">
        <f t="shared" si="399"/>
        <v>0</v>
      </c>
      <c r="R337" s="350">
        <f t="shared" si="400"/>
        <v>2156.3519999999999</v>
      </c>
      <c r="S337" s="352">
        <f>+'WP-11 - Non-Regulated'!$K$40</f>
        <v>0.5539209822239638</v>
      </c>
      <c r="T337" s="350">
        <f t="shared" si="401"/>
        <v>1194.4486178606087</v>
      </c>
      <c r="U337" s="350">
        <f t="shared" si="402"/>
        <v>2156.3519999999999</v>
      </c>
      <c r="V337" s="350">
        <f t="shared" si="403"/>
        <v>1194.4486178606087</v>
      </c>
      <c r="W337" s="352">
        <v>1</v>
      </c>
      <c r="X337" s="350">
        <f t="shared" si="404"/>
        <v>1194.4486178606087</v>
      </c>
      <c r="Y337" s="350">
        <f t="shared" si="405"/>
        <v>2388.8972357212174</v>
      </c>
      <c r="Z337" s="350">
        <f t="shared" si="379"/>
        <v>3583.3458535818268</v>
      </c>
      <c r="AA337" s="350">
        <f t="shared" si="393"/>
        <v>122</v>
      </c>
      <c r="AB337" s="350">
        <f t="shared" si="19"/>
        <v>124</v>
      </c>
      <c r="AC337" s="350">
        <f t="shared" si="394"/>
        <v>127</v>
      </c>
      <c r="AD337" s="350">
        <f t="shared" si="20"/>
        <v>123</v>
      </c>
      <c r="AE337" s="350">
        <f t="shared" si="395"/>
        <v>-8.3333333333333329E-2</v>
      </c>
      <c r="AF337" s="350">
        <f t="shared" si="406"/>
        <v>5406.7412196272617</v>
      </c>
    </row>
    <row r="338" spans="2:32">
      <c r="B338" s="841" t="s">
        <v>1234</v>
      </c>
      <c r="C338" s="289">
        <v>2022</v>
      </c>
      <c r="D338" s="289">
        <f t="shared" si="380"/>
        <v>122</v>
      </c>
      <c r="E338" s="289">
        <v>7</v>
      </c>
      <c r="F338" s="351">
        <v>0</v>
      </c>
      <c r="G338" s="344" t="s">
        <v>169</v>
      </c>
      <c r="H338" s="289">
        <v>5</v>
      </c>
      <c r="I338" s="289">
        <f t="shared" si="381"/>
        <v>127</v>
      </c>
      <c r="L338" s="843">
        <v>11756.56</v>
      </c>
      <c r="M338" s="350"/>
      <c r="N338" s="350">
        <f t="shared" si="396"/>
        <v>11756.56</v>
      </c>
      <c r="O338" s="350">
        <f t="shared" si="397"/>
        <v>195.94266666666667</v>
      </c>
      <c r="P338" s="350">
        <f t="shared" si="398"/>
        <v>2351.3119999999999</v>
      </c>
      <c r="Q338" s="350">
        <f t="shared" si="399"/>
        <v>0</v>
      </c>
      <c r="R338" s="350">
        <f t="shared" si="400"/>
        <v>2351.3119999999999</v>
      </c>
      <c r="S338" s="352">
        <f>+'WP-11 - Non-Regulated'!$K$40</f>
        <v>0.5539209822239638</v>
      </c>
      <c r="T338" s="350">
        <f t="shared" si="401"/>
        <v>1302.4410525549927</v>
      </c>
      <c r="U338" s="350">
        <f t="shared" si="402"/>
        <v>1175.6559999999999</v>
      </c>
      <c r="V338" s="350">
        <f t="shared" si="403"/>
        <v>651.22052627749633</v>
      </c>
      <c r="W338" s="352">
        <v>1</v>
      </c>
      <c r="X338" s="350">
        <f t="shared" si="404"/>
        <v>651.22052627749633</v>
      </c>
      <c r="Y338" s="350">
        <f t="shared" si="405"/>
        <v>1953.6615788324889</v>
      </c>
      <c r="Z338" s="350">
        <f t="shared" si="379"/>
        <v>4558.5436839424747</v>
      </c>
      <c r="AA338" s="350">
        <f t="shared" si="393"/>
        <v>122.5</v>
      </c>
      <c r="AB338" s="350">
        <f t="shared" si="19"/>
        <v>124</v>
      </c>
      <c r="AC338" s="350">
        <f t="shared" si="394"/>
        <v>127.5</v>
      </c>
      <c r="AD338" s="350">
        <f t="shared" si="20"/>
        <v>123</v>
      </c>
      <c r="AE338" s="350">
        <f t="shared" si="395"/>
        <v>-8.3333333333333329E-2</v>
      </c>
      <c r="AF338" s="350">
        <f t="shared" si="406"/>
        <v>5895.5752635025328</v>
      </c>
    </row>
    <row r="339" spans="2:32">
      <c r="B339" s="841" t="s">
        <v>1235</v>
      </c>
      <c r="C339" s="289">
        <v>2022</v>
      </c>
      <c r="D339" s="289">
        <f t="shared" si="380"/>
        <v>122</v>
      </c>
      <c r="E339" s="289">
        <v>10</v>
      </c>
      <c r="F339" s="351">
        <v>0</v>
      </c>
      <c r="G339" s="344" t="s">
        <v>169</v>
      </c>
      <c r="H339" s="289">
        <v>5</v>
      </c>
      <c r="I339" s="289">
        <f t="shared" si="381"/>
        <v>127</v>
      </c>
      <c r="L339" s="843">
        <v>12035.45</v>
      </c>
      <c r="M339" s="350"/>
      <c r="N339" s="350">
        <f t="shared" si="396"/>
        <v>12035.45</v>
      </c>
      <c r="O339" s="350">
        <f t="shared" si="397"/>
        <v>200.59083333333334</v>
      </c>
      <c r="P339" s="350">
        <f t="shared" si="398"/>
        <v>2407.09</v>
      </c>
      <c r="Q339" s="350">
        <f t="shared" si="399"/>
        <v>0</v>
      </c>
      <c r="R339" s="350">
        <f t="shared" si="400"/>
        <v>2407.09</v>
      </c>
      <c r="S339" s="352">
        <f>+'WP-11 - Non-Regulated'!$K$40</f>
        <v>0.5539209822239638</v>
      </c>
      <c r="T339" s="350">
        <f t="shared" si="401"/>
        <v>1333.337657101481</v>
      </c>
      <c r="U339" s="350">
        <f t="shared" si="402"/>
        <v>601.77250000000004</v>
      </c>
      <c r="V339" s="350">
        <f t="shared" si="403"/>
        <v>333.33441427537025</v>
      </c>
      <c r="W339" s="352">
        <v>1</v>
      </c>
      <c r="X339" s="350">
        <f t="shared" si="404"/>
        <v>333.33441427537025</v>
      </c>
      <c r="Y339" s="350">
        <f t="shared" si="405"/>
        <v>1666.6720713768514</v>
      </c>
      <c r="Z339" s="350">
        <f t="shared" si="379"/>
        <v>5000.0162141305545</v>
      </c>
      <c r="AA339" s="350">
        <f t="shared" si="393"/>
        <v>122.75</v>
      </c>
      <c r="AB339" s="350">
        <f t="shared" si="19"/>
        <v>124</v>
      </c>
      <c r="AC339" s="350">
        <f t="shared" si="394"/>
        <v>127.75</v>
      </c>
      <c r="AD339" s="350">
        <f t="shared" si="20"/>
        <v>123</v>
      </c>
      <c r="AE339" s="350">
        <f t="shared" si="395"/>
        <v>-8.3333333333333329E-2</v>
      </c>
      <c r="AF339" s="350">
        <f t="shared" si="406"/>
        <v>6035.4305430433351</v>
      </c>
    </row>
    <row r="340" spans="2:32">
      <c r="B340" s="841" t="s">
        <v>1231</v>
      </c>
      <c r="C340" s="289">
        <v>2022</v>
      </c>
      <c r="D340" s="289">
        <f t="shared" si="380"/>
        <v>122</v>
      </c>
      <c r="E340" s="289">
        <v>9</v>
      </c>
      <c r="F340" s="351">
        <v>0</v>
      </c>
      <c r="G340" s="344" t="s">
        <v>169</v>
      </c>
      <c r="H340" s="289">
        <v>5</v>
      </c>
      <c r="I340" s="289">
        <f t="shared" si="381"/>
        <v>127</v>
      </c>
      <c r="L340" s="843">
        <v>14482.78</v>
      </c>
      <c r="M340" s="350"/>
      <c r="N340" s="350">
        <f t="shared" si="396"/>
        <v>14482.78</v>
      </c>
      <c r="O340" s="350">
        <f t="shared" si="397"/>
        <v>241.37966666666668</v>
      </c>
      <c r="P340" s="350">
        <f t="shared" si="398"/>
        <v>2896.556</v>
      </c>
      <c r="Q340" s="350">
        <f t="shared" si="399"/>
        <v>0</v>
      </c>
      <c r="R340" s="350">
        <f t="shared" si="400"/>
        <v>2896.556</v>
      </c>
      <c r="S340" s="352">
        <f>+'WP-11 - Non-Regulated'!$K$40</f>
        <v>0.5539209822239638</v>
      </c>
      <c r="T340" s="350">
        <f t="shared" si="401"/>
        <v>1604.4631445867158</v>
      </c>
      <c r="U340" s="350">
        <f t="shared" si="402"/>
        <v>965.51866666665296</v>
      </c>
      <c r="V340" s="350">
        <f t="shared" si="403"/>
        <v>534.82104819556434</v>
      </c>
      <c r="W340" s="352">
        <v>1</v>
      </c>
      <c r="X340" s="350">
        <f t="shared" si="404"/>
        <v>534.82104819556434</v>
      </c>
      <c r="Y340" s="350">
        <f t="shared" si="405"/>
        <v>2139.2841927822801</v>
      </c>
      <c r="Z340" s="350">
        <f t="shared" si="379"/>
        <v>5883.0315301512992</v>
      </c>
      <c r="AA340" s="350">
        <f t="shared" si="393"/>
        <v>122.66666666666667</v>
      </c>
      <c r="AB340" s="350">
        <f t="shared" si="19"/>
        <v>124</v>
      </c>
      <c r="AC340" s="350">
        <f t="shared" si="394"/>
        <v>127.66666666666667</v>
      </c>
      <c r="AD340" s="350">
        <f t="shared" si="20"/>
        <v>123</v>
      </c>
      <c r="AE340" s="350">
        <f t="shared" si="395"/>
        <v>-8.3333333333333329E-2</v>
      </c>
      <c r="AF340" s="350">
        <f t="shared" si="406"/>
        <v>7262.6958493597785</v>
      </c>
    </row>
    <row r="341" spans="2:32">
      <c r="B341" s="841" t="s">
        <v>1236</v>
      </c>
      <c r="C341" s="289">
        <v>2022</v>
      </c>
      <c r="D341" s="289">
        <f t="shared" si="380"/>
        <v>122</v>
      </c>
      <c r="E341" s="289">
        <v>8</v>
      </c>
      <c r="F341" s="351">
        <v>0</v>
      </c>
      <c r="G341" s="344" t="s">
        <v>169</v>
      </c>
      <c r="H341" s="289">
        <v>5</v>
      </c>
      <c r="I341" s="289">
        <f t="shared" si="381"/>
        <v>127</v>
      </c>
      <c r="L341" s="843">
        <v>14996.18</v>
      </c>
      <c r="M341" s="350"/>
      <c r="N341" s="350">
        <f t="shared" si="396"/>
        <v>14996.18</v>
      </c>
      <c r="O341" s="350">
        <f t="shared" si="397"/>
        <v>249.93633333333332</v>
      </c>
      <c r="P341" s="350">
        <f t="shared" si="398"/>
        <v>2999.2359999999999</v>
      </c>
      <c r="Q341" s="350">
        <f t="shared" si="399"/>
        <v>0</v>
      </c>
      <c r="R341" s="350">
        <f t="shared" si="400"/>
        <v>2999.2359999999999</v>
      </c>
      <c r="S341" s="352">
        <f>+'WP-11 - Non-Regulated'!$K$40</f>
        <v>0.5539209822239638</v>
      </c>
      <c r="T341" s="350">
        <f t="shared" si="401"/>
        <v>1661.3397510414723</v>
      </c>
      <c r="U341" s="350">
        <f t="shared" si="402"/>
        <v>1249.6816666666807</v>
      </c>
      <c r="V341" s="350">
        <f t="shared" si="403"/>
        <v>692.22489626728793</v>
      </c>
      <c r="W341" s="352">
        <v>1</v>
      </c>
      <c r="X341" s="350">
        <f t="shared" si="404"/>
        <v>692.22489626728793</v>
      </c>
      <c r="Y341" s="350">
        <f t="shared" si="405"/>
        <v>2353.56464730876</v>
      </c>
      <c r="Z341" s="350">
        <f t="shared" si="379"/>
        <v>5953.1341078986015</v>
      </c>
      <c r="AA341" s="350">
        <f t="shared" si="393"/>
        <v>122.58333333333333</v>
      </c>
      <c r="AB341" s="350">
        <f t="shared" si="19"/>
        <v>124</v>
      </c>
      <c r="AC341" s="350">
        <f t="shared" si="394"/>
        <v>127.58333333333333</v>
      </c>
      <c r="AD341" s="350">
        <f t="shared" si="20"/>
        <v>123</v>
      </c>
      <c r="AE341" s="350">
        <f t="shared" si="395"/>
        <v>-8.3333333333333329E-2</v>
      </c>
      <c r="AF341" s="350">
        <f t="shared" si="406"/>
        <v>7520.151120313375</v>
      </c>
    </row>
    <row r="342" spans="2:32">
      <c r="B342" s="841" t="s">
        <v>1237</v>
      </c>
      <c r="C342" s="289">
        <v>2022</v>
      </c>
      <c r="D342" s="289">
        <f t="shared" si="380"/>
        <v>122</v>
      </c>
      <c r="E342" s="289">
        <v>7</v>
      </c>
      <c r="F342" s="351">
        <v>0</v>
      </c>
      <c r="G342" s="344" t="s">
        <v>169</v>
      </c>
      <c r="H342" s="289">
        <v>5</v>
      </c>
      <c r="I342" s="289">
        <f t="shared" si="381"/>
        <v>127</v>
      </c>
      <c r="L342" s="843">
        <v>16545.05</v>
      </c>
      <c r="M342" s="350"/>
      <c r="N342" s="350">
        <f t="shared" si="396"/>
        <v>16545.05</v>
      </c>
      <c r="O342" s="350">
        <f t="shared" si="397"/>
        <v>275.75083333333333</v>
      </c>
      <c r="P342" s="350">
        <f t="shared" si="398"/>
        <v>3309.01</v>
      </c>
      <c r="Q342" s="350">
        <f t="shared" si="399"/>
        <v>0</v>
      </c>
      <c r="R342" s="350">
        <f t="shared" si="400"/>
        <v>3309.01</v>
      </c>
      <c r="S342" s="352">
        <f>+'WP-11 - Non-Regulated'!$K$40</f>
        <v>0.5539209822239638</v>
      </c>
      <c r="T342" s="350">
        <f t="shared" si="401"/>
        <v>1832.9300693889186</v>
      </c>
      <c r="U342" s="350">
        <f t="shared" si="402"/>
        <v>1654.5050000000001</v>
      </c>
      <c r="V342" s="350">
        <f t="shared" si="403"/>
        <v>916.46503469445929</v>
      </c>
      <c r="W342" s="352">
        <v>1</v>
      </c>
      <c r="X342" s="350">
        <f t="shared" si="404"/>
        <v>916.46503469445929</v>
      </c>
      <c r="Y342" s="350">
        <f t="shared" si="405"/>
        <v>2749.3951040833781</v>
      </c>
      <c r="Z342" s="350">
        <f t="shared" si="379"/>
        <v>6415.2552428612144</v>
      </c>
      <c r="AA342" s="350">
        <f t="shared" si="393"/>
        <v>122.5</v>
      </c>
      <c r="AB342" s="350">
        <f t="shared" si="19"/>
        <v>124</v>
      </c>
      <c r="AC342" s="350">
        <f t="shared" si="394"/>
        <v>127.5</v>
      </c>
      <c r="AD342" s="350">
        <f t="shared" si="20"/>
        <v>123</v>
      </c>
      <c r="AE342" s="350">
        <f t="shared" si="395"/>
        <v>-8.3333333333333329E-2</v>
      </c>
      <c r="AF342" s="350">
        <f t="shared" si="406"/>
        <v>8296.8646877498668</v>
      </c>
    </row>
    <row r="343" spans="2:32">
      <c r="B343" s="841" t="s">
        <v>1238</v>
      </c>
      <c r="C343" s="289">
        <v>2022</v>
      </c>
      <c r="D343" s="289">
        <f t="shared" si="380"/>
        <v>122</v>
      </c>
      <c r="E343" s="289">
        <v>9</v>
      </c>
      <c r="F343" s="351">
        <v>0</v>
      </c>
      <c r="G343" s="344" t="s">
        <v>169</v>
      </c>
      <c r="H343" s="289">
        <v>5</v>
      </c>
      <c r="I343" s="289">
        <f t="shared" si="381"/>
        <v>127</v>
      </c>
      <c r="L343" s="843">
        <v>17284.150000000001</v>
      </c>
      <c r="M343" s="350"/>
      <c r="N343" s="350">
        <f t="shared" si="396"/>
        <v>17284.150000000001</v>
      </c>
      <c r="O343" s="350">
        <f t="shared" si="397"/>
        <v>288.06916666666672</v>
      </c>
      <c r="P343" s="350">
        <f t="shared" si="398"/>
        <v>3456.8300000000008</v>
      </c>
      <c r="Q343" s="350">
        <f t="shared" si="399"/>
        <v>0</v>
      </c>
      <c r="R343" s="350">
        <f t="shared" si="400"/>
        <v>3456.8300000000008</v>
      </c>
      <c r="S343" s="352">
        <f>+'WP-11 - Non-Regulated'!$K$40</f>
        <v>0.5539209822239638</v>
      </c>
      <c r="T343" s="350">
        <f t="shared" si="401"/>
        <v>1914.8106689812653</v>
      </c>
      <c r="U343" s="350">
        <f t="shared" si="402"/>
        <v>1152.2766666666505</v>
      </c>
      <c r="V343" s="350">
        <f t="shared" si="403"/>
        <v>638.27022299374596</v>
      </c>
      <c r="W343" s="352">
        <v>1</v>
      </c>
      <c r="X343" s="350">
        <f t="shared" si="404"/>
        <v>638.27022299374596</v>
      </c>
      <c r="Y343" s="350">
        <f t="shared" si="405"/>
        <v>2553.0808919750111</v>
      </c>
      <c r="Z343" s="350">
        <f t="shared" si="379"/>
        <v>7020.9724529313135</v>
      </c>
      <c r="AA343" s="350">
        <f t="shared" si="393"/>
        <v>122.66666666666667</v>
      </c>
      <c r="AB343" s="350">
        <f t="shared" si="19"/>
        <v>124</v>
      </c>
      <c r="AC343" s="350">
        <f t="shared" si="394"/>
        <v>127.66666666666667</v>
      </c>
      <c r="AD343" s="350">
        <f t="shared" si="20"/>
        <v>123</v>
      </c>
      <c r="AE343" s="350">
        <f t="shared" si="395"/>
        <v>-8.3333333333333329E-2</v>
      </c>
      <c r="AF343" s="350">
        <f t="shared" si="406"/>
        <v>8667.5019895843088</v>
      </c>
    </row>
    <row r="344" spans="2:32">
      <c r="B344" s="841" t="s">
        <v>1239</v>
      </c>
      <c r="C344" s="289">
        <v>2022</v>
      </c>
      <c r="D344" s="289">
        <f t="shared" si="380"/>
        <v>122</v>
      </c>
      <c r="E344" s="289">
        <v>1</v>
      </c>
      <c r="F344" s="351">
        <v>0</v>
      </c>
      <c r="G344" s="344" t="s">
        <v>169</v>
      </c>
      <c r="H344" s="289">
        <v>5</v>
      </c>
      <c r="I344" s="289">
        <f t="shared" si="381"/>
        <v>127</v>
      </c>
      <c r="L344" s="843">
        <v>38891.040000000001</v>
      </c>
      <c r="M344" s="350"/>
      <c r="N344" s="350">
        <f t="shared" si="396"/>
        <v>38891.040000000001</v>
      </c>
      <c r="O344" s="350">
        <f t="shared" si="397"/>
        <v>648.18400000000008</v>
      </c>
      <c r="P344" s="350">
        <f t="shared" si="398"/>
        <v>7778.2080000000005</v>
      </c>
      <c r="Q344" s="350">
        <f t="shared" si="399"/>
        <v>0</v>
      </c>
      <c r="R344" s="350">
        <f t="shared" si="400"/>
        <v>7778.2080000000005</v>
      </c>
      <c r="S344" s="352">
        <f>+'WP-11 - Non-Regulated'!$K$40</f>
        <v>0.5539209822239638</v>
      </c>
      <c r="T344" s="350">
        <f t="shared" si="401"/>
        <v>4308.5126153022929</v>
      </c>
      <c r="U344" s="350">
        <f t="shared" si="402"/>
        <v>7778.2080000000005</v>
      </c>
      <c r="V344" s="350">
        <f t="shared" si="403"/>
        <v>4308.5126153022929</v>
      </c>
      <c r="W344" s="352">
        <v>1</v>
      </c>
      <c r="X344" s="350">
        <f t="shared" si="404"/>
        <v>4308.5126153022929</v>
      </c>
      <c r="Y344" s="350">
        <f t="shared" si="405"/>
        <v>8617.0252306045859</v>
      </c>
      <c r="Z344" s="350">
        <f t="shared" si="379"/>
        <v>12925.53784590688</v>
      </c>
      <c r="AA344" s="350">
        <f t="shared" si="393"/>
        <v>122</v>
      </c>
      <c r="AB344" s="350">
        <f t="shared" si="19"/>
        <v>124</v>
      </c>
      <c r="AC344" s="350">
        <f t="shared" si="394"/>
        <v>127</v>
      </c>
      <c r="AD344" s="350">
        <f t="shared" si="20"/>
        <v>123</v>
      </c>
      <c r="AE344" s="350">
        <f t="shared" si="395"/>
        <v>-8.3333333333333329E-2</v>
      </c>
      <c r="AF344" s="350">
        <f t="shared" si="406"/>
        <v>19502.733231139682</v>
      </c>
    </row>
    <row r="345" spans="2:32">
      <c r="B345" s="841" t="s">
        <v>1240</v>
      </c>
      <c r="C345" s="289">
        <v>2022</v>
      </c>
      <c r="D345" s="289">
        <f t="shared" si="380"/>
        <v>122</v>
      </c>
      <c r="E345" s="289">
        <v>8</v>
      </c>
      <c r="F345" s="351">
        <v>0</v>
      </c>
      <c r="G345" s="344" t="s">
        <v>169</v>
      </c>
      <c r="H345" s="289">
        <v>5</v>
      </c>
      <c r="I345" s="289">
        <f t="shared" si="381"/>
        <v>127</v>
      </c>
      <c r="L345" s="843">
        <v>10069.49</v>
      </c>
      <c r="M345" s="350"/>
      <c r="N345" s="350">
        <f t="shared" si="396"/>
        <v>10069.49</v>
      </c>
      <c r="O345" s="350">
        <f t="shared" si="397"/>
        <v>167.82483333333332</v>
      </c>
      <c r="P345" s="350">
        <f t="shared" si="398"/>
        <v>2013.8979999999997</v>
      </c>
      <c r="Q345" s="350">
        <f t="shared" si="399"/>
        <v>0</v>
      </c>
      <c r="R345" s="350">
        <f t="shared" si="400"/>
        <v>2013.8979999999997</v>
      </c>
      <c r="S345" s="352">
        <f>+'WP-11 - Non-Regulated'!$K$40</f>
        <v>0.5539209822239638</v>
      </c>
      <c r="T345" s="350">
        <f t="shared" si="401"/>
        <v>1115.540358258876</v>
      </c>
      <c r="U345" s="350">
        <f t="shared" si="402"/>
        <v>839.12416666667616</v>
      </c>
      <c r="V345" s="350">
        <f t="shared" si="403"/>
        <v>464.80848260787036</v>
      </c>
      <c r="W345" s="352">
        <v>1</v>
      </c>
      <c r="X345" s="350">
        <f t="shared" si="404"/>
        <v>464.80848260787036</v>
      </c>
      <c r="Y345" s="350">
        <f t="shared" si="405"/>
        <v>1580.3488408667463</v>
      </c>
      <c r="Z345" s="350">
        <f t="shared" si="379"/>
        <v>3997.3529504276348</v>
      </c>
      <c r="AA345" s="350">
        <f t="shared" si="393"/>
        <v>122.58333333333333</v>
      </c>
      <c r="AB345" s="350">
        <f t="shared" si="19"/>
        <v>124</v>
      </c>
      <c r="AC345" s="350">
        <f t="shared" si="394"/>
        <v>127.58333333333333</v>
      </c>
      <c r="AD345" s="350">
        <f t="shared" si="20"/>
        <v>123</v>
      </c>
      <c r="AE345" s="350">
        <f t="shared" si="395"/>
        <v>-8.3333333333333329E-2</v>
      </c>
      <c r="AF345" s="350">
        <f t="shared" si="406"/>
        <v>5049.5583878350562</v>
      </c>
    </row>
    <row r="346" spans="2:32">
      <c r="B346" s="841" t="s">
        <v>1228</v>
      </c>
      <c r="C346" s="289">
        <v>2022</v>
      </c>
      <c r="D346" s="289">
        <f t="shared" si="380"/>
        <v>122</v>
      </c>
      <c r="E346" s="289">
        <v>5</v>
      </c>
      <c r="F346" s="351">
        <v>0</v>
      </c>
      <c r="G346" s="344" t="s">
        <v>169</v>
      </c>
      <c r="H346" s="289">
        <v>5</v>
      </c>
      <c r="I346" s="289">
        <f t="shared" si="381"/>
        <v>127</v>
      </c>
      <c r="L346" s="843">
        <v>2761.14</v>
      </c>
      <c r="M346" s="350"/>
      <c r="N346" s="350">
        <f t="shared" si="396"/>
        <v>2761.14</v>
      </c>
      <c r="O346" s="350">
        <f t="shared" si="397"/>
        <v>46.018999999999998</v>
      </c>
      <c r="P346" s="350">
        <f t="shared" si="398"/>
        <v>552.22799999999995</v>
      </c>
      <c r="Q346" s="350">
        <f t="shared" si="399"/>
        <v>0</v>
      </c>
      <c r="R346" s="350">
        <f t="shared" si="400"/>
        <v>552.22799999999995</v>
      </c>
      <c r="S346" s="352">
        <f>+'WP-11 - Non-Regulated'!$K$40</f>
        <v>0.5539209822239638</v>
      </c>
      <c r="T346" s="350">
        <f t="shared" si="401"/>
        <v>305.89067617157508</v>
      </c>
      <c r="U346" s="350">
        <f t="shared" si="402"/>
        <v>368.1520000000026</v>
      </c>
      <c r="V346" s="350">
        <f t="shared" si="403"/>
        <v>203.92711744771816</v>
      </c>
      <c r="W346" s="352">
        <v>1</v>
      </c>
      <c r="X346" s="350">
        <f t="shared" si="404"/>
        <v>203.92711744771816</v>
      </c>
      <c r="Y346" s="350">
        <f t="shared" si="405"/>
        <v>509.81779361929324</v>
      </c>
      <c r="Z346" s="350">
        <f t="shared" si="379"/>
        <v>1019.635587238582</v>
      </c>
      <c r="AA346" s="350">
        <f t="shared" si="393"/>
        <v>122.33333333333333</v>
      </c>
      <c r="AB346" s="350">
        <f t="shared" si="19"/>
        <v>124</v>
      </c>
      <c r="AC346" s="350">
        <f t="shared" si="394"/>
        <v>127.33333333333333</v>
      </c>
      <c r="AD346" s="350">
        <f t="shared" si="20"/>
        <v>123</v>
      </c>
      <c r="AE346" s="350">
        <f t="shared" si="395"/>
        <v>-8.3333333333333329E-2</v>
      </c>
      <c r="AF346" s="350">
        <f t="shared" si="406"/>
        <v>1384.6319572279122</v>
      </c>
    </row>
    <row r="347" spans="2:32">
      <c r="B347" s="841" t="s">
        <v>1228</v>
      </c>
      <c r="C347" s="289">
        <v>2022</v>
      </c>
      <c r="D347" s="289">
        <f t="shared" si="380"/>
        <v>122</v>
      </c>
      <c r="E347" s="289">
        <v>3</v>
      </c>
      <c r="F347" s="351">
        <v>0</v>
      </c>
      <c r="G347" s="344" t="s">
        <v>169</v>
      </c>
      <c r="H347" s="289">
        <v>5</v>
      </c>
      <c r="I347" s="289">
        <f t="shared" si="381"/>
        <v>127</v>
      </c>
      <c r="L347" s="843">
        <v>3396.76</v>
      </c>
      <c r="M347" s="350"/>
      <c r="N347" s="350">
        <f t="shared" si="396"/>
        <v>3396.76</v>
      </c>
      <c r="O347" s="350">
        <f t="shared" si="397"/>
        <v>56.612666666666676</v>
      </c>
      <c r="P347" s="350">
        <f t="shared" si="398"/>
        <v>679.35200000000009</v>
      </c>
      <c r="Q347" s="350">
        <f t="shared" si="399"/>
        <v>0</v>
      </c>
      <c r="R347" s="350">
        <f t="shared" si="400"/>
        <v>679.35200000000009</v>
      </c>
      <c r="S347" s="352">
        <f>+'WP-11 - Non-Regulated'!$K$40</f>
        <v>0.5539209822239638</v>
      </c>
      <c r="T347" s="350">
        <f t="shared" si="401"/>
        <v>376.3073271158143</v>
      </c>
      <c r="U347" s="350">
        <f t="shared" si="402"/>
        <v>566.1266666666636</v>
      </c>
      <c r="V347" s="350">
        <f t="shared" si="403"/>
        <v>313.58943926317687</v>
      </c>
      <c r="W347" s="352">
        <v>1</v>
      </c>
      <c r="X347" s="350">
        <f t="shared" si="404"/>
        <v>313.58943926317687</v>
      </c>
      <c r="Y347" s="350">
        <f t="shared" si="405"/>
        <v>689.89676637899117</v>
      </c>
      <c r="Z347" s="350">
        <f t="shared" si="379"/>
        <v>1191.6398692000803</v>
      </c>
      <c r="AA347" s="350">
        <f t="shared" si="393"/>
        <v>122.16666666666667</v>
      </c>
      <c r="AB347" s="350">
        <f t="shared" si="19"/>
        <v>124</v>
      </c>
      <c r="AC347" s="350">
        <f t="shared" si="394"/>
        <v>127.16666666666667</v>
      </c>
      <c r="AD347" s="350">
        <f t="shared" si="20"/>
        <v>123</v>
      </c>
      <c r="AE347" s="350">
        <f t="shared" si="395"/>
        <v>-8.3333333333333329E-2</v>
      </c>
      <c r="AF347" s="350">
        <f t="shared" si="406"/>
        <v>1703.3770279788359</v>
      </c>
    </row>
    <row r="348" spans="2:32">
      <c r="B348" s="841" t="s">
        <v>1228</v>
      </c>
      <c r="C348" s="289">
        <v>2022</v>
      </c>
      <c r="D348" s="289">
        <f t="shared" si="380"/>
        <v>122</v>
      </c>
      <c r="E348" s="289">
        <v>11</v>
      </c>
      <c r="F348" s="351">
        <v>0</v>
      </c>
      <c r="G348" s="344" t="s">
        <v>169</v>
      </c>
      <c r="H348" s="289">
        <v>5</v>
      </c>
      <c r="I348" s="289">
        <f t="shared" si="381"/>
        <v>127</v>
      </c>
      <c r="L348" s="843">
        <v>3411.19</v>
      </c>
      <c r="M348" s="350"/>
      <c r="N348" s="350">
        <f t="shared" si="396"/>
        <v>3411.19</v>
      </c>
      <c r="O348" s="350">
        <f t="shared" si="397"/>
        <v>56.853166666666674</v>
      </c>
      <c r="P348" s="350">
        <f t="shared" si="398"/>
        <v>682.23800000000006</v>
      </c>
      <c r="Q348" s="350">
        <f t="shared" si="399"/>
        <v>0</v>
      </c>
      <c r="R348" s="350">
        <f t="shared" si="400"/>
        <v>682.23800000000006</v>
      </c>
      <c r="S348" s="352">
        <f>+'WP-11 - Non-Regulated'!$K$40</f>
        <v>0.5539209822239638</v>
      </c>
      <c r="T348" s="350">
        <f t="shared" si="401"/>
        <v>377.90594307051265</v>
      </c>
      <c r="U348" s="350">
        <f t="shared" si="402"/>
        <v>113.70633333333657</v>
      </c>
      <c r="V348" s="350">
        <f t="shared" si="403"/>
        <v>62.984323845087232</v>
      </c>
      <c r="W348" s="352">
        <v>1</v>
      </c>
      <c r="X348" s="350">
        <f t="shared" si="404"/>
        <v>62.984323845087232</v>
      </c>
      <c r="Y348" s="350">
        <f t="shared" si="405"/>
        <v>440.89026691559991</v>
      </c>
      <c r="Z348" s="350">
        <f t="shared" si="379"/>
        <v>1448.6394484369632</v>
      </c>
      <c r="AA348" s="350">
        <f t="shared" si="393"/>
        <v>122.83333333333333</v>
      </c>
      <c r="AB348" s="350">
        <f t="shared" si="19"/>
        <v>124</v>
      </c>
      <c r="AC348" s="350">
        <f t="shared" si="394"/>
        <v>127.83333333333333</v>
      </c>
      <c r="AD348" s="350">
        <f t="shared" si="20"/>
        <v>123</v>
      </c>
      <c r="AE348" s="350">
        <f t="shared" si="395"/>
        <v>-8.3333333333333329E-2</v>
      </c>
      <c r="AF348" s="350">
        <f t="shared" si="406"/>
        <v>1710.6132561826932</v>
      </c>
    </row>
    <row r="349" spans="2:32">
      <c r="B349" s="841" t="s">
        <v>1231</v>
      </c>
      <c r="C349" s="289">
        <v>2022</v>
      </c>
      <c r="D349" s="289">
        <f t="shared" si="380"/>
        <v>122</v>
      </c>
      <c r="E349" s="289">
        <v>1</v>
      </c>
      <c r="F349" s="351">
        <v>0</v>
      </c>
      <c r="G349" s="344" t="s">
        <v>169</v>
      </c>
      <c r="H349" s="289">
        <v>5</v>
      </c>
      <c r="I349" s="289">
        <f t="shared" si="381"/>
        <v>127</v>
      </c>
      <c r="L349" s="843">
        <v>3945.76</v>
      </c>
      <c r="M349" s="350"/>
      <c r="N349" s="350">
        <f t="shared" si="396"/>
        <v>3945.76</v>
      </c>
      <c r="O349" s="350">
        <f t="shared" si="397"/>
        <v>65.762666666666675</v>
      </c>
      <c r="P349" s="350">
        <f t="shared" si="398"/>
        <v>789.15200000000004</v>
      </c>
      <c r="Q349" s="350">
        <f t="shared" si="399"/>
        <v>0</v>
      </c>
      <c r="R349" s="350">
        <f t="shared" si="400"/>
        <v>789.15200000000004</v>
      </c>
      <c r="S349" s="352">
        <f>+'WP-11 - Non-Regulated'!$K$40</f>
        <v>0.5539209822239638</v>
      </c>
      <c r="T349" s="350">
        <f t="shared" si="401"/>
        <v>437.12785096400552</v>
      </c>
      <c r="U349" s="350">
        <f t="shared" si="402"/>
        <v>789.15200000000004</v>
      </c>
      <c r="V349" s="350">
        <f t="shared" si="403"/>
        <v>437.12785096400552</v>
      </c>
      <c r="W349" s="352">
        <v>1</v>
      </c>
      <c r="X349" s="350">
        <f t="shared" si="404"/>
        <v>437.12785096400552</v>
      </c>
      <c r="Y349" s="350">
        <f t="shared" si="405"/>
        <v>874.25570192801104</v>
      </c>
      <c r="Z349" s="350">
        <f t="shared" si="379"/>
        <v>1311.3835528920165</v>
      </c>
      <c r="AA349" s="350">
        <f t="shared" si="393"/>
        <v>122</v>
      </c>
      <c r="AB349" s="350">
        <f t="shared" si="19"/>
        <v>124</v>
      </c>
      <c r="AC349" s="350">
        <f t="shared" si="394"/>
        <v>127</v>
      </c>
      <c r="AD349" s="350">
        <f t="shared" si="20"/>
        <v>123</v>
      </c>
      <c r="AE349" s="350">
        <f t="shared" si="395"/>
        <v>-8.3333333333333329E-2</v>
      </c>
      <c r="AF349" s="350">
        <f t="shared" si="406"/>
        <v>1978.6846706619756</v>
      </c>
    </row>
    <row r="350" spans="2:32">
      <c r="B350" s="842" t="s">
        <v>1241</v>
      </c>
      <c r="C350" s="289">
        <v>2000</v>
      </c>
      <c r="D350" s="289">
        <f t="shared" si="380"/>
        <v>100</v>
      </c>
      <c r="E350" s="289">
        <v>1</v>
      </c>
      <c r="F350" s="351">
        <v>0</v>
      </c>
      <c r="G350" s="344" t="s">
        <v>169</v>
      </c>
      <c r="H350" s="289">
        <v>7</v>
      </c>
      <c r="I350" s="289">
        <f t="shared" si="381"/>
        <v>107</v>
      </c>
      <c r="L350" s="844">
        <v>11500</v>
      </c>
      <c r="M350" s="350"/>
      <c r="N350" s="350">
        <f t="shared" si="396"/>
        <v>11500</v>
      </c>
      <c r="O350" s="350">
        <f t="shared" si="397"/>
        <v>136.9047619047619</v>
      </c>
      <c r="P350" s="350">
        <f t="shared" si="398"/>
        <v>0</v>
      </c>
      <c r="Q350" s="350">
        <f t="shared" si="399"/>
        <v>0</v>
      </c>
      <c r="R350" s="350">
        <f t="shared" si="400"/>
        <v>0</v>
      </c>
      <c r="S350" s="352">
        <f>+'WP-11 - Non-Regulated'!$K$40</f>
        <v>0.5539209822239638</v>
      </c>
      <c r="T350" s="350">
        <f t="shared" si="401"/>
        <v>0</v>
      </c>
      <c r="U350" s="350">
        <f t="shared" si="402"/>
        <v>11500</v>
      </c>
      <c r="V350" s="350">
        <f t="shared" si="403"/>
        <v>6370.0912955755839</v>
      </c>
      <c r="W350" s="352">
        <v>1</v>
      </c>
      <c r="X350" s="350">
        <f t="shared" si="404"/>
        <v>6370.0912955755839</v>
      </c>
      <c r="Y350" s="350">
        <f t="shared" si="405"/>
        <v>6370.0912955755839</v>
      </c>
      <c r="Z350" s="350">
        <f t="shared" si="379"/>
        <v>0</v>
      </c>
      <c r="AA350" s="350">
        <f t="shared" si="393"/>
        <v>100</v>
      </c>
      <c r="AB350" s="350">
        <f t="shared" si="19"/>
        <v>124</v>
      </c>
      <c r="AC350" s="350">
        <f t="shared" si="394"/>
        <v>107</v>
      </c>
      <c r="AD350" s="350">
        <f t="shared" si="20"/>
        <v>123</v>
      </c>
      <c r="AE350" s="350">
        <f t="shared" si="395"/>
        <v>-8.3333333333333329E-2</v>
      </c>
      <c r="AF350" s="350">
        <f t="shared" si="406"/>
        <v>5129.9087044244161</v>
      </c>
    </row>
    <row r="351" spans="2:32">
      <c r="B351" s="842" t="s">
        <v>1242</v>
      </c>
      <c r="C351" s="289">
        <v>2000</v>
      </c>
      <c r="D351" s="289">
        <f t="shared" si="380"/>
        <v>100</v>
      </c>
      <c r="E351" s="289">
        <v>1</v>
      </c>
      <c r="F351" s="351">
        <v>0</v>
      </c>
      <c r="G351" s="344" t="s">
        <v>169</v>
      </c>
      <c r="H351" s="289">
        <v>7</v>
      </c>
      <c r="I351" s="289">
        <f t="shared" si="381"/>
        <v>107</v>
      </c>
      <c r="L351" s="844">
        <v>1698</v>
      </c>
      <c r="M351" s="350"/>
      <c r="N351" s="350">
        <f t="shared" si="396"/>
        <v>1698</v>
      </c>
      <c r="O351" s="350">
        <f t="shared" si="397"/>
        <v>20.214285714285715</v>
      </c>
      <c r="P351" s="350">
        <f t="shared" si="398"/>
        <v>0</v>
      </c>
      <c r="Q351" s="350">
        <f t="shared" si="399"/>
        <v>0</v>
      </c>
      <c r="R351" s="350">
        <f t="shared" si="400"/>
        <v>0</v>
      </c>
      <c r="S351" s="352">
        <f>+'WP-11 - Non-Regulated'!$K$40</f>
        <v>0.5539209822239638</v>
      </c>
      <c r="T351" s="350">
        <f t="shared" si="401"/>
        <v>0</v>
      </c>
      <c r="U351" s="350">
        <f t="shared" si="402"/>
        <v>1698</v>
      </c>
      <c r="V351" s="350">
        <f t="shared" si="403"/>
        <v>940.55782781629057</v>
      </c>
      <c r="W351" s="352">
        <v>1</v>
      </c>
      <c r="X351" s="350">
        <f t="shared" si="404"/>
        <v>940.55782781629057</v>
      </c>
      <c r="Y351" s="350">
        <f t="shared" si="405"/>
        <v>940.55782781629057</v>
      </c>
      <c r="Z351" s="350">
        <f t="shared" si="379"/>
        <v>0</v>
      </c>
      <c r="AA351" s="350">
        <f t="shared" si="393"/>
        <v>100</v>
      </c>
      <c r="AB351" s="350">
        <f t="shared" si="19"/>
        <v>124</v>
      </c>
      <c r="AC351" s="350">
        <f t="shared" si="394"/>
        <v>107</v>
      </c>
      <c r="AD351" s="350">
        <f t="shared" si="20"/>
        <v>123</v>
      </c>
      <c r="AE351" s="350">
        <f t="shared" si="395"/>
        <v>-8.3333333333333329E-2</v>
      </c>
      <c r="AF351" s="350">
        <f t="shared" si="406"/>
        <v>757.44217218370943</v>
      </c>
    </row>
    <row r="352" spans="2:32">
      <c r="B352" s="842" t="s">
        <v>1243</v>
      </c>
      <c r="C352" s="289">
        <v>2004</v>
      </c>
      <c r="D352" s="289">
        <f t="shared" si="380"/>
        <v>104</v>
      </c>
      <c r="E352" s="289">
        <v>1</v>
      </c>
      <c r="F352" s="351">
        <v>0</v>
      </c>
      <c r="G352" s="344" t="s">
        <v>169</v>
      </c>
      <c r="H352" s="289">
        <v>5</v>
      </c>
      <c r="I352" s="289">
        <f t="shared" si="381"/>
        <v>109</v>
      </c>
      <c r="L352" s="844">
        <v>230109</v>
      </c>
      <c r="M352" s="350"/>
      <c r="N352" s="350">
        <f t="shared" si="396"/>
        <v>230109</v>
      </c>
      <c r="O352" s="350">
        <f t="shared" si="397"/>
        <v>3835.15</v>
      </c>
      <c r="P352" s="350">
        <f t="shared" si="398"/>
        <v>0</v>
      </c>
      <c r="Q352" s="350">
        <f t="shared" si="399"/>
        <v>0</v>
      </c>
      <c r="R352" s="350">
        <f t="shared" si="400"/>
        <v>0</v>
      </c>
      <c r="S352" s="352">
        <f>+'WP-11 - Non-Regulated'!$K$40</f>
        <v>0.5539209822239638</v>
      </c>
      <c r="T352" s="350">
        <f t="shared" si="401"/>
        <v>0</v>
      </c>
      <c r="U352" s="350">
        <f t="shared" si="402"/>
        <v>230109</v>
      </c>
      <c r="V352" s="350">
        <f t="shared" si="403"/>
        <v>127462.20329857408</v>
      </c>
      <c r="W352" s="352">
        <v>1</v>
      </c>
      <c r="X352" s="350">
        <f t="shared" si="404"/>
        <v>127462.20329857408</v>
      </c>
      <c r="Y352" s="350">
        <f t="shared" si="405"/>
        <v>127462.20329857408</v>
      </c>
      <c r="Z352" s="350">
        <f t="shared" si="379"/>
        <v>0</v>
      </c>
      <c r="AA352" s="350">
        <f t="shared" si="393"/>
        <v>104</v>
      </c>
      <c r="AB352" s="350">
        <f t="shared" si="19"/>
        <v>124</v>
      </c>
      <c r="AC352" s="350">
        <f t="shared" si="394"/>
        <v>109</v>
      </c>
      <c r="AD352" s="350">
        <f t="shared" si="20"/>
        <v>123</v>
      </c>
      <c r="AE352" s="350">
        <f t="shared" si="395"/>
        <v>-8.3333333333333329E-2</v>
      </c>
      <c r="AF352" s="350">
        <f t="shared" si="406"/>
        <v>102646.79670142592</v>
      </c>
    </row>
    <row r="353" spans="2:35">
      <c r="B353" s="842" t="s">
        <v>1244</v>
      </c>
      <c r="C353" s="289">
        <v>2004</v>
      </c>
      <c r="D353" s="289">
        <f t="shared" si="380"/>
        <v>104</v>
      </c>
      <c r="E353" s="289">
        <v>1</v>
      </c>
      <c r="F353" s="351">
        <v>0</v>
      </c>
      <c r="G353" s="344" t="s">
        <v>169</v>
      </c>
      <c r="H353" s="289">
        <v>7</v>
      </c>
      <c r="I353" s="289">
        <f t="shared" si="381"/>
        <v>111</v>
      </c>
      <c r="L353" s="844">
        <v>110972</v>
      </c>
      <c r="M353" s="350"/>
      <c r="N353" s="350">
        <f t="shared" si="396"/>
        <v>110972</v>
      </c>
      <c r="O353" s="350">
        <f t="shared" si="397"/>
        <v>1321.0952380952381</v>
      </c>
      <c r="P353" s="350">
        <f t="shared" si="398"/>
        <v>0</v>
      </c>
      <c r="Q353" s="350">
        <f t="shared" si="399"/>
        <v>0</v>
      </c>
      <c r="R353" s="350">
        <f t="shared" si="400"/>
        <v>0</v>
      </c>
      <c r="S353" s="352">
        <f>+'WP-11 - Non-Regulated'!$K$40</f>
        <v>0.5539209822239638</v>
      </c>
      <c r="T353" s="350">
        <f t="shared" si="401"/>
        <v>0</v>
      </c>
      <c r="U353" s="350">
        <f t="shared" si="402"/>
        <v>110972</v>
      </c>
      <c r="V353" s="350">
        <f t="shared" si="403"/>
        <v>61469.719239357713</v>
      </c>
      <c r="W353" s="352">
        <v>1</v>
      </c>
      <c r="X353" s="350">
        <f t="shared" si="404"/>
        <v>61469.719239357713</v>
      </c>
      <c r="Y353" s="350">
        <f t="shared" si="405"/>
        <v>61469.719239357713</v>
      </c>
      <c r="Z353" s="350">
        <f t="shared" si="379"/>
        <v>0</v>
      </c>
      <c r="AA353" s="350">
        <f t="shared" si="393"/>
        <v>104</v>
      </c>
      <c r="AB353" s="350">
        <f t="shared" si="19"/>
        <v>124</v>
      </c>
      <c r="AC353" s="350">
        <f t="shared" si="394"/>
        <v>111</v>
      </c>
      <c r="AD353" s="350">
        <f t="shared" si="20"/>
        <v>123</v>
      </c>
      <c r="AE353" s="350">
        <f t="shared" si="395"/>
        <v>-8.3333333333333329E-2</v>
      </c>
      <c r="AF353" s="350">
        <f t="shared" si="406"/>
        <v>49502.280760642287</v>
      </c>
    </row>
    <row r="354" spans="2:35">
      <c r="B354" s="842" t="s">
        <v>1245</v>
      </c>
      <c r="C354" s="289">
        <v>2005</v>
      </c>
      <c r="D354" s="289">
        <f t="shared" si="380"/>
        <v>105</v>
      </c>
      <c r="E354" s="289">
        <v>1</v>
      </c>
      <c r="F354" s="351">
        <v>0</v>
      </c>
      <c r="G354" s="344" t="s">
        <v>169</v>
      </c>
      <c r="H354" s="289">
        <v>7</v>
      </c>
      <c r="I354" s="289">
        <f t="shared" si="381"/>
        <v>112</v>
      </c>
      <c r="L354" s="844">
        <v>207000</v>
      </c>
      <c r="M354" s="350"/>
      <c r="N354" s="350">
        <f t="shared" si="396"/>
        <v>207000</v>
      </c>
      <c r="O354" s="350">
        <f t="shared" si="397"/>
        <v>2464.2857142857142</v>
      </c>
      <c r="P354" s="350">
        <f t="shared" si="398"/>
        <v>0</v>
      </c>
      <c r="Q354" s="350">
        <f t="shared" si="399"/>
        <v>0</v>
      </c>
      <c r="R354" s="350">
        <f t="shared" si="400"/>
        <v>0</v>
      </c>
      <c r="S354" s="352">
        <f>+'WP-11 - Non-Regulated'!$K$40</f>
        <v>0.5539209822239638</v>
      </c>
      <c r="T354" s="350">
        <f t="shared" si="401"/>
        <v>0</v>
      </c>
      <c r="U354" s="350">
        <f t="shared" si="402"/>
        <v>207000</v>
      </c>
      <c r="V354" s="350">
        <f t="shared" si="403"/>
        <v>114661.64332036051</v>
      </c>
      <c r="W354" s="352">
        <v>1</v>
      </c>
      <c r="X354" s="350">
        <f t="shared" si="404"/>
        <v>114661.64332036051</v>
      </c>
      <c r="Y354" s="350">
        <f t="shared" si="405"/>
        <v>114661.64332036051</v>
      </c>
      <c r="Z354" s="350">
        <f t="shared" si="379"/>
        <v>0</v>
      </c>
      <c r="AA354" s="350">
        <f t="shared" si="393"/>
        <v>105</v>
      </c>
      <c r="AB354" s="350">
        <f t="shared" si="19"/>
        <v>124</v>
      </c>
      <c r="AC354" s="350">
        <f t="shared" si="394"/>
        <v>112</v>
      </c>
      <c r="AD354" s="350">
        <f t="shared" si="20"/>
        <v>123</v>
      </c>
      <c r="AE354" s="350">
        <f t="shared" si="395"/>
        <v>-8.3333333333333329E-2</v>
      </c>
      <c r="AF354" s="350">
        <f t="shared" si="406"/>
        <v>92338.356679639488</v>
      </c>
    </row>
    <row r="355" spans="2:35">
      <c r="B355" s="842" t="s">
        <v>1246</v>
      </c>
      <c r="C355" s="289">
        <v>2006</v>
      </c>
      <c r="D355" s="289">
        <f t="shared" si="380"/>
        <v>106</v>
      </c>
      <c r="E355" s="289">
        <v>1</v>
      </c>
      <c r="F355" s="351">
        <v>0</v>
      </c>
      <c r="G355" s="344" t="s">
        <v>169</v>
      </c>
      <c r="H355" s="289">
        <v>7</v>
      </c>
      <c r="I355" s="289">
        <f t="shared" si="381"/>
        <v>113</v>
      </c>
      <c r="L355" s="844">
        <v>244614</v>
      </c>
      <c r="M355" s="350"/>
      <c r="N355" s="350">
        <f t="shared" si="396"/>
        <v>244614</v>
      </c>
      <c r="O355" s="350">
        <f t="shared" si="397"/>
        <v>2912.0714285714289</v>
      </c>
      <c r="P355" s="350">
        <f t="shared" si="398"/>
        <v>0</v>
      </c>
      <c r="Q355" s="350">
        <f t="shared" si="399"/>
        <v>0</v>
      </c>
      <c r="R355" s="350">
        <f t="shared" si="400"/>
        <v>0</v>
      </c>
      <c r="S355" s="352">
        <f>+'WP-11 - Non-Regulated'!$K$40</f>
        <v>0.5539209822239638</v>
      </c>
      <c r="T355" s="350">
        <f t="shared" si="401"/>
        <v>0</v>
      </c>
      <c r="U355" s="350">
        <f t="shared" si="402"/>
        <v>244614</v>
      </c>
      <c r="V355" s="350">
        <f t="shared" si="403"/>
        <v>135496.82714573268</v>
      </c>
      <c r="W355" s="352">
        <v>1</v>
      </c>
      <c r="X355" s="350">
        <f t="shared" si="404"/>
        <v>135496.82714573268</v>
      </c>
      <c r="Y355" s="350">
        <f t="shared" si="405"/>
        <v>135496.82714573268</v>
      </c>
      <c r="Z355" s="350">
        <f t="shared" si="379"/>
        <v>0</v>
      </c>
      <c r="AA355" s="350">
        <f t="shared" si="393"/>
        <v>106</v>
      </c>
      <c r="AB355" s="350">
        <f t="shared" si="19"/>
        <v>124</v>
      </c>
      <c r="AC355" s="350">
        <f t="shared" si="394"/>
        <v>113</v>
      </c>
      <c r="AD355" s="350">
        <f t="shared" si="20"/>
        <v>123</v>
      </c>
      <c r="AE355" s="350">
        <f t="shared" si="395"/>
        <v>-8.3333333333333329E-2</v>
      </c>
      <c r="AF355" s="350">
        <f t="shared" si="406"/>
        <v>109117.17285426732</v>
      </c>
    </row>
    <row r="356" spans="2:35">
      <c r="B356" s="845" t="s">
        <v>1247</v>
      </c>
      <c r="C356" s="289">
        <v>2023</v>
      </c>
      <c r="D356" s="289">
        <f t="shared" si="380"/>
        <v>123</v>
      </c>
      <c r="E356" s="289">
        <v>12</v>
      </c>
      <c r="F356" s="351">
        <v>0</v>
      </c>
      <c r="G356" s="344" t="s">
        <v>169</v>
      </c>
      <c r="H356" s="289">
        <v>5</v>
      </c>
      <c r="I356" s="289">
        <f t="shared" si="381"/>
        <v>128</v>
      </c>
      <c r="L356" s="843">
        <v>7231.3</v>
      </c>
      <c r="M356" s="350"/>
      <c r="N356" s="350">
        <f t="shared" si="396"/>
        <v>7231.3</v>
      </c>
      <c r="O356" s="350">
        <f t="shared" si="397"/>
        <v>120.52166666666666</v>
      </c>
      <c r="P356" s="350">
        <f t="shared" si="398"/>
        <v>120.52166666665981</v>
      </c>
      <c r="Q356" s="350">
        <f t="shared" si="399"/>
        <v>0</v>
      </c>
      <c r="R356" s="350">
        <f t="shared" si="400"/>
        <v>120.52166666665981</v>
      </c>
      <c r="S356" s="352">
        <f>+'WP-11 - Non-Regulated'!$K$40</f>
        <v>0.5539209822239638</v>
      </c>
      <c r="T356" s="350">
        <f t="shared" si="401"/>
        <v>66.759479979265365</v>
      </c>
      <c r="U356" s="350">
        <f t="shared" si="402"/>
        <v>0</v>
      </c>
      <c r="V356" s="350">
        <f t="shared" si="403"/>
        <v>0</v>
      </c>
      <c r="W356" s="352">
        <v>1</v>
      </c>
      <c r="X356" s="350">
        <f t="shared" si="404"/>
        <v>0</v>
      </c>
      <c r="Y356" s="350">
        <f t="shared" si="405"/>
        <v>66.759479979265365</v>
      </c>
      <c r="Z356" s="350">
        <f t="shared" si="379"/>
        <v>3938.8093187768841</v>
      </c>
      <c r="AA356" s="350">
        <f t="shared" si="393"/>
        <v>123.91666666666667</v>
      </c>
      <c r="AB356" s="350">
        <f t="shared" si="19"/>
        <v>124</v>
      </c>
      <c r="AC356" s="350">
        <f t="shared" si="394"/>
        <v>128.91666666666666</v>
      </c>
      <c r="AD356" s="350">
        <f t="shared" si="20"/>
        <v>123</v>
      </c>
      <c r="AE356" s="350">
        <f t="shared" si="395"/>
        <v>-8.3333333333333329E-2</v>
      </c>
      <c r="AF356" s="350">
        <f t="shared" si="406"/>
        <v>3259.1109412334831</v>
      </c>
    </row>
    <row r="357" spans="2:35">
      <c r="B357" s="845" t="s">
        <v>1248</v>
      </c>
      <c r="C357" s="289">
        <v>2023</v>
      </c>
      <c r="D357" s="289">
        <f t="shared" si="380"/>
        <v>123</v>
      </c>
      <c r="E357" s="289">
        <v>8</v>
      </c>
      <c r="F357" s="351">
        <v>0</v>
      </c>
      <c r="G357" s="344" t="s">
        <v>169</v>
      </c>
      <c r="H357" s="289">
        <v>5</v>
      </c>
      <c r="I357" s="289">
        <f t="shared" si="381"/>
        <v>128</v>
      </c>
      <c r="L357" s="843">
        <v>11625.9</v>
      </c>
      <c r="M357" s="350"/>
      <c r="N357" s="350">
        <f t="shared" si="396"/>
        <v>11625.9</v>
      </c>
      <c r="O357" s="350">
        <f t="shared" si="397"/>
        <v>193.76499999999999</v>
      </c>
      <c r="P357" s="350">
        <f t="shared" si="398"/>
        <v>968.82500000001096</v>
      </c>
      <c r="Q357" s="350">
        <f t="shared" si="399"/>
        <v>0</v>
      </c>
      <c r="R357" s="350">
        <f t="shared" si="400"/>
        <v>968.82500000001096</v>
      </c>
      <c r="S357" s="352">
        <f>+'WP-11 - Non-Regulated'!$K$40</f>
        <v>0.5539209822239638</v>
      </c>
      <c r="T357" s="350">
        <f t="shared" si="401"/>
        <v>536.65249560313782</v>
      </c>
      <c r="U357" s="350">
        <f t="shared" si="402"/>
        <v>0</v>
      </c>
      <c r="V357" s="350">
        <f t="shared" si="403"/>
        <v>0</v>
      </c>
      <c r="W357" s="352">
        <v>1</v>
      </c>
      <c r="X357" s="350">
        <f t="shared" si="404"/>
        <v>0</v>
      </c>
      <c r="Y357" s="350">
        <f t="shared" si="405"/>
        <v>536.65249560313782</v>
      </c>
      <c r="Z357" s="350">
        <f t="shared" si="379"/>
        <v>5903.1774516344421</v>
      </c>
      <c r="AA357" s="350">
        <f t="shared" si="393"/>
        <v>123.58333333333333</v>
      </c>
      <c r="AB357" s="350">
        <f t="shared" si="19"/>
        <v>124</v>
      </c>
      <c r="AC357" s="350">
        <f t="shared" si="394"/>
        <v>128.58333333333334</v>
      </c>
      <c r="AD357" s="350">
        <f t="shared" si="20"/>
        <v>123</v>
      </c>
      <c r="AE357" s="350">
        <f t="shared" si="395"/>
        <v>-8.3333333333333329E-2</v>
      </c>
      <c r="AF357" s="350">
        <f t="shared" si="406"/>
        <v>5454.396300563988</v>
      </c>
    </row>
    <row r="358" spans="2:35">
      <c r="B358" s="845" t="s">
        <v>1249</v>
      </c>
      <c r="C358" s="289">
        <v>2023</v>
      </c>
      <c r="D358" s="289">
        <f t="shared" si="380"/>
        <v>123</v>
      </c>
      <c r="E358" s="289">
        <v>7</v>
      </c>
      <c r="F358" s="351">
        <v>0</v>
      </c>
      <c r="G358" s="344" t="s">
        <v>169</v>
      </c>
      <c r="H358" s="289">
        <v>5</v>
      </c>
      <c r="I358" s="289">
        <f t="shared" si="381"/>
        <v>128</v>
      </c>
      <c r="L358" s="843">
        <v>14086.58</v>
      </c>
      <c r="M358" s="350"/>
      <c r="N358" s="350">
        <f t="shared" si="396"/>
        <v>14086.58</v>
      </c>
      <c r="O358" s="350">
        <f t="shared" si="397"/>
        <v>234.77633333333333</v>
      </c>
      <c r="P358" s="350">
        <f t="shared" si="398"/>
        <v>1408.6579999999999</v>
      </c>
      <c r="Q358" s="350">
        <f t="shared" si="399"/>
        <v>0</v>
      </c>
      <c r="R358" s="350">
        <f t="shared" si="400"/>
        <v>1408.6579999999999</v>
      </c>
      <c r="S358" s="352">
        <f>+'WP-11 - Non-Regulated'!$K$40</f>
        <v>0.5539209822239638</v>
      </c>
      <c r="T358" s="350">
        <f t="shared" si="401"/>
        <v>780.28522297764437</v>
      </c>
      <c r="U358" s="350">
        <f t="shared" si="402"/>
        <v>0</v>
      </c>
      <c r="V358" s="350">
        <f t="shared" si="403"/>
        <v>0</v>
      </c>
      <c r="W358" s="352">
        <v>1</v>
      </c>
      <c r="X358" s="350">
        <f t="shared" si="404"/>
        <v>0</v>
      </c>
      <c r="Y358" s="350">
        <f t="shared" si="405"/>
        <v>780.28522297764437</v>
      </c>
      <c r="Z358" s="350">
        <f t="shared" si="379"/>
        <v>7022.5670067987994</v>
      </c>
      <c r="AA358" s="350">
        <f t="shared" si="393"/>
        <v>123.5</v>
      </c>
      <c r="AB358" s="350">
        <f t="shared" si="19"/>
        <v>124</v>
      </c>
      <c r="AC358" s="350">
        <f t="shared" si="394"/>
        <v>128.5</v>
      </c>
      <c r="AD358" s="350">
        <f t="shared" si="20"/>
        <v>123</v>
      </c>
      <c r="AE358" s="350">
        <f t="shared" si="395"/>
        <v>-8.3333333333333329E-2</v>
      </c>
      <c r="AF358" s="350">
        <f t="shared" si="406"/>
        <v>6673.8703817123787</v>
      </c>
    </row>
    <row r="359" spans="2:35">
      <c r="B359" s="845" t="s">
        <v>1250</v>
      </c>
      <c r="C359" s="289">
        <v>2023</v>
      </c>
      <c r="D359" s="289">
        <f t="shared" si="380"/>
        <v>123</v>
      </c>
      <c r="E359" s="289">
        <v>11</v>
      </c>
      <c r="F359" s="351">
        <v>0</v>
      </c>
      <c r="G359" s="344" t="s">
        <v>169</v>
      </c>
      <c r="H359" s="289">
        <v>5</v>
      </c>
      <c r="I359" s="289">
        <f t="shared" si="381"/>
        <v>128</v>
      </c>
      <c r="L359" s="843">
        <v>14249.18</v>
      </c>
      <c r="M359" s="350"/>
      <c r="N359" s="350">
        <f t="shared" si="396"/>
        <v>14249.18</v>
      </c>
      <c r="O359" s="350">
        <f t="shared" si="397"/>
        <v>237.48633333333336</v>
      </c>
      <c r="P359" s="350">
        <f t="shared" si="398"/>
        <v>474.9726666666802</v>
      </c>
      <c r="Q359" s="350">
        <f t="shared" si="399"/>
        <v>0</v>
      </c>
      <c r="R359" s="350">
        <f t="shared" si="400"/>
        <v>474.9726666666802</v>
      </c>
      <c r="S359" s="352">
        <f>+'WP-11 - Non-Regulated'!$K$40</f>
        <v>0.5539209822239638</v>
      </c>
      <c r="T359" s="350">
        <f t="shared" si="401"/>
        <v>263.09732604954286</v>
      </c>
      <c r="U359" s="350">
        <f t="shared" si="402"/>
        <v>0</v>
      </c>
      <c r="V359" s="350">
        <f t="shared" si="403"/>
        <v>0</v>
      </c>
      <c r="W359" s="352">
        <v>1</v>
      </c>
      <c r="X359" s="350">
        <f t="shared" si="404"/>
        <v>0</v>
      </c>
      <c r="Y359" s="350">
        <f t="shared" si="405"/>
        <v>263.09732604954286</v>
      </c>
      <c r="Z359" s="350">
        <f t="shared" si="379"/>
        <v>7629.8224554365179</v>
      </c>
      <c r="AA359" s="350">
        <f t="shared" si="393"/>
        <v>123.83333333333333</v>
      </c>
      <c r="AB359" s="350">
        <f t="shared" si="19"/>
        <v>124</v>
      </c>
      <c r="AC359" s="350">
        <f t="shared" si="394"/>
        <v>128.83333333333334</v>
      </c>
      <c r="AD359" s="350">
        <f t="shared" si="20"/>
        <v>123</v>
      </c>
      <c r="AE359" s="350">
        <f t="shared" si="395"/>
        <v>-8.3333333333333329E-2</v>
      </c>
      <c r="AF359" s="350">
        <f t="shared" si="406"/>
        <v>6487.8088815387118</v>
      </c>
    </row>
    <row r="360" spans="2:35">
      <c r="B360" s="845" t="s">
        <v>1251</v>
      </c>
      <c r="C360" s="289">
        <v>2023</v>
      </c>
      <c r="D360" s="289">
        <f t="shared" si="380"/>
        <v>123</v>
      </c>
      <c r="E360" s="289">
        <v>10</v>
      </c>
      <c r="F360" s="351">
        <v>0</v>
      </c>
      <c r="G360" s="344" t="s">
        <v>169</v>
      </c>
      <c r="H360" s="289">
        <v>5</v>
      </c>
      <c r="I360" s="289">
        <f t="shared" si="381"/>
        <v>128</v>
      </c>
      <c r="L360" s="843">
        <v>18668.740000000002</v>
      </c>
      <c r="M360" s="350"/>
      <c r="N360" s="350">
        <f t="shared" si="396"/>
        <v>18668.740000000002</v>
      </c>
      <c r="O360" s="350">
        <f t="shared" si="397"/>
        <v>311.14566666666673</v>
      </c>
      <c r="P360" s="350">
        <f t="shared" si="398"/>
        <v>933.43700000000013</v>
      </c>
      <c r="Q360" s="350">
        <f t="shared" si="399"/>
        <v>0</v>
      </c>
      <c r="R360" s="350">
        <f t="shared" si="400"/>
        <v>933.43700000000013</v>
      </c>
      <c r="S360" s="352">
        <f>+'WP-11 - Non-Regulated'!$K$40</f>
        <v>0.5539209822239638</v>
      </c>
      <c r="T360" s="350">
        <f t="shared" si="401"/>
        <v>517.05033988419018</v>
      </c>
      <c r="U360" s="350">
        <f t="shared" si="402"/>
        <v>0</v>
      </c>
      <c r="V360" s="350">
        <f t="shared" si="403"/>
        <v>0</v>
      </c>
      <c r="W360" s="352">
        <v>1</v>
      </c>
      <c r="X360" s="350">
        <f t="shared" si="404"/>
        <v>0</v>
      </c>
      <c r="Y360" s="350">
        <f t="shared" si="405"/>
        <v>517.05033988419018</v>
      </c>
      <c r="Z360" s="350">
        <f t="shared" si="379"/>
        <v>9823.9564577996116</v>
      </c>
      <c r="AA360" s="350">
        <f t="shared" si="393"/>
        <v>123.75</v>
      </c>
      <c r="AB360" s="350">
        <f t="shared" si="19"/>
        <v>124</v>
      </c>
      <c r="AC360" s="350">
        <f t="shared" si="394"/>
        <v>128.75</v>
      </c>
      <c r="AD360" s="350">
        <f t="shared" si="20"/>
        <v>123</v>
      </c>
      <c r="AE360" s="350">
        <f t="shared" si="395"/>
        <v>-8.3333333333333329E-2</v>
      </c>
      <c r="AF360" s="350">
        <f t="shared" si="406"/>
        <v>8586.2583722582949</v>
      </c>
    </row>
    <row r="361" spans="2:35">
      <c r="B361" s="845" t="s">
        <v>1252</v>
      </c>
      <c r="C361" s="289">
        <v>2023</v>
      </c>
      <c r="D361" s="289">
        <f t="shared" si="380"/>
        <v>123</v>
      </c>
      <c r="E361" s="289">
        <v>5</v>
      </c>
      <c r="F361" s="351">
        <v>0</v>
      </c>
      <c r="G361" s="344" t="s">
        <v>169</v>
      </c>
      <c r="H361" s="289">
        <v>5</v>
      </c>
      <c r="I361" s="289">
        <f t="shared" si="381"/>
        <v>128</v>
      </c>
      <c r="L361" s="843">
        <v>25933.35</v>
      </c>
      <c r="M361" s="350"/>
      <c r="N361" s="350">
        <f t="shared" si="396"/>
        <v>25933.35</v>
      </c>
      <c r="O361" s="350">
        <f t="shared" si="397"/>
        <v>432.22250000000003</v>
      </c>
      <c r="P361" s="350">
        <f t="shared" si="398"/>
        <v>3457.7800000000248</v>
      </c>
      <c r="Q361" s="350">
        <f t="shared" si="399"/>
        <v>0</v>
      </c>
      <c r="R361" s="350">
        <f t="shared" si="400"/>
        <v>3457.7800000000248</v>
      </c>
      <c r="S361" s="352">
        <f>+'WP-11 - Non-Regulated'!$K$40</f>
        <v>0.5539209822239638</v>
      </c>
      <c r="T361" s="350">
        <f t="shared" si="401"/>
        <v>1915.3368939143913</v>
      </c>
      <c r="U361" s="350">
        <f t="shared" si="402"/>
        <v>0</v>
      </c>
      <c r="V361" s="350">
        <f t="shared" si="403"/>
        <v>0</v>
      </c>
      <c r="W361" s="352">
        <v>1</v>
      </c>
      <c r="X361" s="350">
        <f t="shared" si="404"/>
        <v>0</v>
      </c>
      <c r="Y361" s="350">
        <f t="shared" si="405"/>
        <v>1915.3368939143913</v>
      </c>
      <c r="Z361" s="350">
        <f t="shared" si="379"/>
        <v>12449.68981044344</v>
      </c>
      <c r="AA361" s="350">
        <f t="shared" si="393"/>
        <v>123.33333333333333</v>
      </c>
      <c r="AB361" s="350">
        <f t="shared" si="19"/>
        <v>124</v>
      </c>
      <c r="AC361" s="350">
        <f t="shared" si="394"/>
        <v>128.33333333333334</v>
      </c>
      <c r="AD361" s="350">
        <f t="shared" si="20"/>
        <v>123</v>
      </c>
      <c r="AE361" s="350">
        <f t="shared" si="395"/>
        <v>-8.3333333333333329E-2</v>
      </c>
      <c r="AF361" s="350">
        <f t="shared" si="406"/>
        <v>12525.991742599363</v>
      </c>
      <c r="AG361" s="350"/>
      <c r="AH361" s="350"/>
      <c r="AI361" s="350"/>
    </row>
    <row r="362" spans="2:35">
      <c r="B362" s="845" t="s">
        <v>1253</v>
      </c>
      <c r="C362" s="289">
        <v>2023</v>
      </c>
      <c r="D362" s="289">
        <f t="shared" si="380"/>
        <v>123</v>
      </c>
      <c r="E362" s="289">
        <v>6</v>
      </c>
      <c r="F362" s="351">
        <v>0</v>
      </c>
      <c r="G362" s="344" t="s">
        <v>169</v>
      </c>
      <c r="H362" s="289">
        <v>5</v>
      </c>
      <c r="I362" s="289">
        <f t="shared" si="381"/>
        <v>128</v>
      </c>
      <c r="L362" s="843">
        <v>36766.54</v>
      </c>
      <c r="M362" s="350"/>
      <c r="N362" s="350">
        <f t="shared" si="396"/>
        <v>36766.54</v>
      </c>
      <c r="O362" s="350">
        <f t="shared" si="397"/>
        <v>612.77566666666667</v>
      </c>
      <c r="P362" s="350">
        <f t="shared" si="398"/>
        <v>4289.4296666666314</v>
      </c>
      <c r="Q362" s="350">
        <f t="shared" si="399"/>
        <v>0</v>
      </c>
      <c r="R362" s="350">
        <f t="shared" si="400"/>
        <v>4289.4296666666314</v>
      </c>
      <c r="S362" s="352">
        <f>+'WP-11 - Non-Regulated'!$K$40</f>
        <v>0.5539209822239638</v>
      </c>
      <c r="T362" s="350">
        <f t="shared" si="401"/>
        <v>2376.0050941405902</v>
      </c>
      <c r="U362" s="350">
        <f t="shared" si="402"/>
        <v>0</v>
      </c>
      <c r="V362" s="350">
        <f t="shared" si="403"/>
        <v>0</v>
      </c>
      <c r="W362" s="352">
        <v>1</v>
      </c>
      <c r="X362" s="350">
        <f t="shared" si="404"/>
        <v>0</v>
      </c>
      <c r="Y362" s="350">
        <f t="shared" si="405"/>
        <v>2376.0050941405902</v>
      </c>
      <c r="Z362" s="350">
        <f t="shared" si="379"/>
        <v>17989.752855636063</v>
      </c>
      <c r="AA362" s="350">
        <f t="shared" si="393"/>
        <v>123.41666666666667</v>
      </c>
      <c r="AB362" s="350">
        <f t="shared" si="19"/>
        <v>124</v>
      </c>
      <c r="AC362" s="350">
        <f t="shared" si="394"/>
        <v>128.41666666666666</v>
      </c>
      <c r="AD362" s="350">
        <f t="shared" si="20"/>
        <v>123</v>
      </c>
      <c r="AE362" s="350">
        <f t="shared" si="395"/>
        <v>-8.3333333333333329E-2</v>
      </c>
      <c r="AF362" s="350">
        <f t="shared" si="406"/>
        <v>17588.784597293641</v>
      </c>
      <c r="AG362" s="350"/>
      <c r="AH362" s="350"/>
      <c r="AI362" s="350"/>
    </row>
    <row r="363" spans="2:35">
      <c r="B363" s="845" t="s">
        <v>1254</v>
      </c>
      <c r="C363" s="289">
        <v>2023</v>
      </c>
      <c r="D363" s="289">
        <f t="shared" si="380"/>
        <v>123</v>
      </c>
      <c r="E363" s="289">
        <v>5</v>
      </c>
      <c r="F363" s="351">
        <v>0</v>
      </c>
      <c r="G363" s="344" t="s">
        <v>169</v>
      </c>
      <c r="H363" s="289">
        <v>5</v>
      </c>
      <c r="I363" s="289">
        <f t="shared" si="381"/>
        <v>128</v>
      </c>
      <c r="L363" s="843">
        <v>36788</v>
      </c>
      <c r="M363" s="350"/>
      <c r="N363" s="350">
        <f t="shared" si="396"/>
        <v>36788</v>
      </c>
      <c r="O363" s="350">
        <f t="shared" si="397"/>
        <v>613.13333333333333</v>
      </c>
      <c r="P363" s="350">
        <f t="shared" si="398"/>
        <v>4905.0666666667012</v>
      </c>
      <c r="Q363" s="350">
        <f t="shared" si="399"/>
        <v>0</v>
      </c>
      <c r="R363" s="350">
        <f t="shared" si="400"/>
        <v>4905.0666666667012</v>
      </c>
      <c r="S363" s="352">
        <f>+S327</f>
        <v>0.45392098222396382</v>
      </c>
      <c r="T363" s="350">
        <f t="shared" si="401"/>
        <v>2226.5126792073729</v>
      </c>
      <c r="U363" s="350">
        <f t="shared" si="402"/>
        <v>0</v>
      </c>
      <c r="V363" s="350">
        <f t="shared" si="403"/>
        <v>0</v>
      </c>
      <c r="W363" s="352">
        <v>1</v>
      </c>
      <c r="X363" s="350">
        <f t="shared" si="404"/>
        <v>0</v>
      </c>
      <c r="Y363" s="350">
        <f t="shared" si="405"/>
        <v>2226.5126792073729</v>
      </c>
      <c r="Z363" s="350">
        <f t="shared" si="379"/>
        <v>14472.332414847808</v>
      </c>
      <c r="AA363" s="350">
        <f t="shared" si="393"/>
        <v>123.33333333333333</v>
      </c>
      <c r="AB363" s="350">
        <f t="shared" si="19"/>
        <v>124</v>
      </c>
      <c r="AC363" s="350">
        <f t="shared" si="394"/>
        <v>128.33333333333334</v>
      </c>
      <c r="AD363" s="350">
        <f t="shared" si="20"/>
        <v>123</v>
      </c>
      <c r="AE363" s="350">
        <f t="shared" si="395"/>
        <v>-8.3333333333333329E-2</v>
      </c>
      <c r="AF363" s="350">
        <f t="shared" si="406"/>
        <v>21202.411245548508</v>
      </c>
      <c r="AG363" s="350"/>
      <c r="AH363" s="350"/>
      <c r="AI363" s="350"/>
    </row>
    <row r="364" spans="2:35">
      <c r="B364" s="861" t="s">
        <v>1287</v>
      </c>
      <c r="C364" s="289">
        <v>2024</v>
      </c>
      <c r="D364" s="289">
        <f t="shared" si="380"/>
        <v>124</v>
      </c>
      <c r="E364" s="289">
        <v>7</v>
      </c>
      <c r="F364" s="351">
        <v>0</v>
      </c>
      <c r="G364" s="344" t="s">
        <v>169</v>
      </c>
      <c r="H364" s="289">
        <v>7</v>
      </c>
      <c r="I364" s="289">
        <f t="shared" si="381"/>
        <v>131</v>
      </c>
      <c r="L364" s="870">
        <v>354706</v>
      </c>
      <c r="M364" s="350"/>
      <c r="N364" s="350">
        <f t="shared" ref="N364:N366" si="407">L364-(+L364*F364)</f>
        <v>354706</v>
      </c>
      <c r="O364" s="350">
        <f t="shared" ref="O364:O366" si="408">N364/H364/12</f>
        <v>4222.6904761904761</v>
      </c>
      <c r="P364" s="350">
        <f t="shared" ref="P364:P365" si="409">IF(Q364&gt;0,0,IF(OR(AA364&gt;AB364,AC364&lt;AD364),0,IF(AND(AC364&gt;=AD364,AC364&lt;=AB364),O364*((AC364-AD364)*12),IF(AND(AD364&lt;=AA364,AB364&gt;=AA364),((AB364-AA364)*12)*O364,IF(AC364&gt;AB364,12*O364,0)))))</f>
        <v>0</v>
      </c>
      <c r="Q364" s="350">
        <f t="shared" ref="Q364:Q365" si="410">IF(M364=0,0,IF(AND(AE364&gt;=AD364,AE364&lt;=AC364),((AE364-AD364)*12)*O364,0))</f>
        <v>0</v>
      </c>
      <c r="R364" s="350">
        <f t="shared" ref="R364:R365" si="411">IF(Q364&gt;0,Q364,P364)</f>
        <v>0</v>
      </c>
      <c r="S364" s="352">
        <f>+S363</f>
        <v>0.45392098222396382</v>
      </c>
      <c r="T364" s="350">
        <f t="shared" ref="T364:T365" si="412">S364*SUM(P364:Q364)</f>
        <v>0</v>
      </c>
      <c r="U364" s="350">
        <f t="shared" ref="U364:U365" si="413">IF(AA364&gt;AB364,0,IF(AC364&lt;AD364,N364,IF(AND(AC364&gt;=AD364,AC364&lt;=AB364),(N364-R364),IF(AND(AD364&lt;=AA364,AB364&gt;=AA364),0,IF(AC364&gt;AB364,((AD364-AA364)*12)*O364,0)))))</f>
        <v>0</v>
      </c>
      <c r="V364" s="350">
        <f t="shared" ref="V364:V365" si="414">U364*S364</f>
        <v>0</v>
      </c>
      <c r="W364" s="352">
        <v>1</v>
      </c>
      <c r="X364" s="350">
        <f t="shared" ref="X364:X365" si="415">V364*W364</f>
        <v>0</v>
      </c>
      <c r="Y364" s="350">
        <f t="shared" ref="Y364:Y365" si="416">IF(M364&gt;0,0,X364+T364*W364)*W364</f>
        <v>0</v>
      </c>
      <c r="Z364" s="350">
        <f t="shared" ref="Z364:Z365" si="417">IF((N364-((AB364-AA364)*12*O364))&lt;0,0,IF(AE364&gt;0,0,(N364-((AB364-AA364)*12*(O364))))*S364)</f>
        <v>172509.10277221425</v>
      </c>
      <c r="AA364" s="350">
        <f t="shared" si="393"/>
        <v>124.5</v>
      </c>
      <c r="AB364" s="350">
        <f t="shared" si="19"/>
        <v>124</v>
      </c>
      <c r="AC364" s="350">
        <f t="shared" si="394"/>
        <v>131.5</v>
      </c>
      <c r="AD364" s="350">
        <f t="shared" si="20"/>
        <v>123</v>
      </c>
      <c r="AE364" s="350">
        <f t="shared" si="395"/>
        <v>-8.3333333333333329E-2</v>
      </c>
      <c r="AF364" s="350">
        <f t="shared" ref="AF364:AF365" si="418">L364-((X364+Y364)/2)-Z364</f>
        <v>182196.89722778575</v>
      </c>
      <c r="AG364" s="350"/>
      <c r="AH364" s="350"/>
      <c r="AI364" s="350"/>
    </row>
    <row r="365" spans="2:35">
      <c r="B365" s="861" t="s">
        <v>1284</v>
      </c>
      <c r="C365" s="289">
        <v>2024</v>
      </c>
      <c r="D365" s="289">
        <f t="shared" si="380"/>
        <v>124</v>
      </c>
      <c r="E365" s="289">
        <v>1</v>
      </c>
      <c r="F365" s="351">
        <v>0</v>
      </c>
      <c r="G365" s="344" t="s">
        <v>169</v>
      </c>
      <c r="H365" s="289">
        <v>7</v>
      </c>
      <c r="I365" s="289">
        <f t="shared" ref="I365" si="419">D365+H365</f>
        <v>131</v>
      </c>
      <c r="J365" s="289">
        <v>124</v>
      </c>
      <c r="K365" s="289">
        <v>1</v>
      </c>
      <c r="L365" s="870">
        <v>443100.57</v>
      </c>
      <c r="M365" s="350"/>
      <c r="N365" s="350">
        <f t="shared" si="407"/>
        <v>443100.57</v>
      </c>
      <c r="O365" s="350">
        <f t="shared" si="408"/>
        <v>5275.0067857142858</v>
      </c>
      <c r="P365" s="350">
        <f t="shared" si="409"/>
        <v>0</v>
      </c>
      <c r="Q365" s="350">
        <f t="shared" si="410"/>
        <v>0</v>
      </c>
      <c r="R365" s="350">
        <f t="shared" si="411"/>
        <v>0</v>
      </c>
      <c r="S365" s="352">
        <f>+S330</f>
        <v>0.5539209822239638</v>
      </c>
      <c r="T365" s="350">
        <f t="shared" si="412"/>
        <v>0</v>
      </c>
      <c r="U365" s="350">
        <f t="shared" si="413"/>
        <v>0</v>
      </c>
      <c r="V365" s="350">
        <f t="shared" si="414"/>
        <v>0</v>
      </c>
      <c r="W365" s="352">
        <v>1</v>
      </c>
      <c r="X365" s="350">
        <f t="shared" si="415"/>
        <v>0</v>
      </c>
      <c r="Y365" s="350">
        <f t="shared" si="416"/>
        <v>0</v>
      </c>
      <c r="Z365" s="350">
        <f t="shared" si="417"/>
        <v>0</v>
      </c>
      <c r="AA365" s="350">
        <f t="shared" si="393"/>
        <v>124</v>
      </c>
      <c r="AB365" s="350">
        <f t="shared" si="19"/>
        <v>124</v>
      </c>
      <c r="AC365" s="350">
        <f t="shared" si="394"/>
        <v>131</v>
      </c>
      <c r="AD365" s="350">
        <f t="shared" si="20"/>
        <v>123</v>
      </c>
      <c r="AE365" s="350">
        <f t="shared" si="395"/>
        <v>124</v>
      </c>
      <c r="AF365" s="350">
        <f t="shared" si="418"/>
        <v>443100.57</v>
      </c>
      <c r="AG365" s="350"/>
      <c r="AH365" s="350"/>
      <c r="AI365" s="350"/>
    </row>
    <row r="366" spans="2:35">
      <c r="B366" s="861" t="s">
        <v>1283</v>
      </c>
      <c r="C366" s="289">
        <v>2024</v>
      </c>
      <c r="D366" s="289">
        <f t="shared" ref="D366" si="420">+C366-1900</f>
        <v>124</v>
      </c>
      <c r="E366" s="289">
        <v>1</v>
      </c>
      <c r="F366" s="351">
        <v>0</v>
      </c>
      <c r="G366" s="344" t="s">
        <v>169</v>
      </c>
      <c r="H366" s="289">
        <v>7</v>
      </c>
      <c r="I366" s="289">
        <f t="shared" ref="I366" si="421">D366+H366</f>
        <v>131</v>
      </c>
      <c r="L366" s="870">
        <v>444537.45</v>
      </c>
      <c r="M366" s="350"/>
      <c r="N366" s="350">
        <f t="shared" si="407"/>
        <v>444537.45</v>
      </c>
      <c r="O366" s="350">
        <f t="shared" si="408"/>
        <v>5292.1125000000002</v>
      </c>
      <c r="P366" s="350">
        <f t="shared" ref="P366" si="422">IF(Q366&gt;0,0,IF(OR(AA366&gt;AB366,AC366&lt;AD366),0,IF(AND(AC366&gt;=AD366,AC366&lt;=AB366),O366*((AC366-AD366)*12),IF(AND(AD366&lt;=AA366,AB366&gt;=AA366),((AB366-AA366)*12)*O366,IF(AC366&gt;AB366,12*O366,0)))))</f>
        <v>0</v>
      </c>
      <c r="Q366" s="350">
        <f t="shared" ref="Q366" si="423">IF(M366=0,0,IF(AND(AE366&gt;=AD366,AE366&lt;=AC366),((AE366-AD366)*12)*O366,0))</f>
        <v>0</v>
      </c>
      <c r="R366" s="350">
        <f t="shared" ref="R366" si="424">IF(Q366&gt;0,Q366,P366)</f>
        <v>0</v>
      </c>
      <c r="S366" s="352">
        <f>+S331</f>
        <v>0.5539209822239638</v>
      </c>
      <c r="T366" s="350">
        <f t="shared" ref="T366" si="425">S366*SUM(P366:Q366)</f>
        <v>0</v>
      </c>
      <c r="U366" s="350">
        <f t="shared" ref="U366" si="426">IF(AA366&gt;AB366,0,IF(AC366&lt;AD366,N366,IF(AND(AC366&gt;=AD366,AC366&lt;=AB366),(N366-R366),IF(AND(AD366&lt;=AA366,AB366&gt;=AA366),0,IF(AC366&gt;AB366,((AD366-AA366)*12)*O366,0)))))</f>
        <v>0</v>
      </c>
      <c r="V366" s="350">
        <f t="shared" ref="V366" si="427">U366*S366</f>
        <v>0</v>
      </c>
      <c r="W366" s="352">
        <v>1</v>
      </c>
      <c r="X366" s="350">
        <f t="shared" ref="X366" si="428">V366*W366</f>
        <v>0</v>
      </c>
      <c r="Y366" s="350">
        <f t="shared" ref="Y366" si="429">IF(M366&gt;0,0,X366+T366*W366)*W366</f>
        <v>0</v>
      </c>
      <c r="Z366" s="350">
        <f t="shared" ref="Z366" si="430">IF((N366-((AB366-AA366)*12*O366))&lt;0,0,IF(AE366&gt;0,0,(N366-((AB366-AA366)*12*(O366))))*S366)</f>
        <v>246238.62093933619</v>
      </c>
      <c r="AA366" s="350">
        <f t="shared" si="393"/>
        <v>124</v>
      </c>
      <c r="AB366" s="350">
        <f t="shared" si="19"/>
        <v>124</v>
      </c>
      <c r="AC366" s="350">
        <f t="shared" si="394"/>
        <v>131</v>
      </c>
      <c r="AD366" s="350">
        <f t="shared" si="20"/>
        <v>123</v>
      </c>
      <c r="AE366" s="350">
        <f t="shared" si="395"/>
        <v>-8.3333333333333329E-2</v>
      </c>
      <c r="AF366" s="350">
        <f t="shared" ref="AF366" si="431">L366-((X366+Y366)/2)-Z366</f>
        <v>198298.82906066382</v>
      </c>
      <c r="AG366" s="350"/>
      <c r="AH366" s="350"/>
      <c r="AI366" s="350"/>
    </row>
    <row r="367" spans="2:35">
      <c r="B367" s="861" t="s">
        <v>1281</v>
      </c>
      <c r="C367" s="289">
        <v>2024</v>
      </c>
      <c r="D367" s="289">
        <f t="shared" si="380"/>
        <v>124</v>
      </c>
      <c r="E367" s="289">
        <v>3</v>
      </c>
      <c r="F367" s="351">
        <v>0</v>
      </c>
      <c r="G367" s="344" t="s">
        <v>169</v>
      </c>
      <c r="H367" s="289">
        <v>7</v>
      </c>
      <c r="I367" s="289">
        <f t="shared" si="381"/>
        <v>131</v>
      </c>
      <c r="L367" s="870">
        <v>235424.56</v>
      </c>
      <c r="M367" s="350"/>
      <c r="N367" s="350">
        <f t="shared" si="396"/>
        <v>235424.56</v>
      </c>
      <c r="O367" s="350">
        <f t="shared" si="397"/>
        <v>2802.6733333333336</v>
      </c>
      <c r="P367" s="350">
        <f t="shared" ref="P367:P370" si="432">IF(Q367&gt;0,0,IF(OR(AA367&gt;AB367,AC367&lt;AD367),0,IF(AND(AC367&gt;=AD367,AC367&lt;=AB367),O367*((AC367-AD367)*12),IF(AND(AD367&lt;=AA367,AB367&gt;=AA367),((AB367-AA367)*12)*O367,IF(AC367&gt;AB367,12*O367,0)))))</f>
        <v>0</v>
      </c>
      <c r="Q367" s="350">
        <f t="shared" ref="Q367:Q370" si="433">IF(M367=0,0,IF(AND(AE367&gt;=AD367,AE367&lt;=AC367),((AE367-AD367)*12)*O367,0))</f>
        <v>0</v>
      </c>
      <c r="R367" s="350">
        <f t="shared" ref="R367:R370" si="434">IF(Q367&gt;0,Q367,P367)</f>
        <v>0</v>
      </c>
      <c r="S367" s="352">
        <f>+'WP-11 - Non-Regulated'!$K$40</f>
        <v>0.5539209822239638</v>
      </c>
      <c r="T367" s="350">
        <f t="shared" ref="T367:T370" si="435">S367*SUM(P367:Q367)</f>
        <v>0</v>
      </c>
      <c r="U367" s="350">
        <f t="shared" ref="U367:U370" si="436">IF(AA367&gt;AB367,0,IF(AC367&lt;AD367,N367,IF(AND(AC367&gt;=AD367,AC367&lt;=AB367),(N367-R367),IF(AND(AD367&lt;=AA367,AB367&gt;=AA367),0,IF(AC367&gt;AB367,((AD367-AA367)*12)*O367,0)))))</f>
        <v>0</v>
      </c>
      <c r="V367" s="350">
        <f t="shared" ref="V367:V370" si="437">U367*S367</f>
        <v>0</v>
      </c>
      <c r="W367" s="352">
        <v>1</v>
      </c>
      <c r="X367" s="350">
        <f t="shared" ref="X367:X370" si="438">V367*W367</f>
        <v>0</v>
      </c>
      <c r="Y367" s="350">
        <f t="shared" ref="Y367:Y370" si="439">IF(M367&gt;0,0,X367+T367*W367)*W367</f>
        <v>0</v>
      </c>
      <c r="Z367" s="350">
        <f t="shared" si="379"/>
        <v>133511.52264615041</v>
      </c>
      <c r="AA367" s="350">
        <f t="shared" si="393"/>
        <v>124.16666666666667</v>
      </c>
      <c r="AB367" s="350">
        <f t="shared" si="19"/>
        <v>124</v>
      </c>
      <c r="AC367" s="350">
        <f t="shared" si="394"/>
        <v>131.16666666666666</v>
      </c>
      <c r="AD367" s="350">
        <f t="shared" si="20"/>
        <v>123</v>
      </c>
      <c r="AE367" s="350">
        <f t="shared" si="395"/>
        <v>-8.3333333333333329E-2</v>
      </c>
      <c r="AF367" s="350">
        <f t="shared" ref="AF367:AF370" si="440">L367-((X367+Y367)/2)-Z367</f>
        <v>101913.03735384959</v>
      </c>
      <c r="AG367" s="350"/>
      <c r="AH367" s="350"/>
      <c r="AI367" s="350"/>
    </row>
    <row r="368" spans="2:35">
      <c r="B368" s="861" t="s">
        <v>1282</v>
      </c>
      <c r="C368" s="289">
        <v>2024</v>
      </c>
      <c r="D368" s="289">
        <f t="shared" si="380"/>
        <v>124</v>
      </c>
      <c r="E368" s="289">
        <v>3</v>
      </c>
      <c r="F368" s="351">
        <v>0</v>
      </c>
      <c r="G368" s="344" t="s">
        <v>169</v>
      </c>
      <c r="H368" s="289">
        <v>7</v>
      </c>
      <c r="I368" s="289">
        <f t="shared" si="381"/>
        <v>131</v>
      </c>
      <c r="L368" s="870">
        <v>189710.84</v>
      </c>
      <c r="M368" s="350"/>
      <c r="N368" s="350">
        <f t="shared" si="396"/>
        <v>189710.84</v>
      </c>
      <c r="O368" s="350">
        <f t="shared" si="397"/>
        <v>2258.462380952381</v>
      </c>
      <c r="P368" s="350">
        <f t="shared" si="432"/>
        <v>0</v>
      </c>
      <c r="Q368" s="350">
        <f t="shared" si="433"/>
        <v>0</v>
      </c>
      <c r="R368" s="350">
        <f t="shared" si="434"/>
        <v>0</v>
      </c>
      <c r="S368" s="352">
        <f>+'WP-11 - Non-Regulated'!$K$40</f>
        <v>0.5539209822239638</v>
      </c>
      <c r="T368" s="350">
        <f t="shared" si="435"/>
        <v>0</v>
      </c>
      <c r="U368" s="350">
        <f t="shared" si="436"/>
        <v>0</v>
      </c>
      <c r="V368" s="350">
        <f t="shared" si="437"/>
        <v>0</v>
      </c>
      <c r="W368" s="352">
        <v>1</v>
      </c>
      <c r="X368" s="350">
        <f t="shared" si="438"/>
        <v>0</v>
      </c>
      <c r="Y368" s="350">
        <f t="shared" si="439"/>
        <v>0</v>
      </c>
      <c r="Z368" s="350">
        <f t="shared" si="379"/>
        <v>107586.83423207935</v>
      </c>
      <c r="AA368" s="350">
        <f t="shared" si="393"/>
        <v>124.16666666666667</v>
      </c>
      <c r="AB368" s="350">
        <f t="shared" si="19"/>
        <v>124</v>
      </c>
      <c r="AC368" s="350">
        <f t="shared" si="394"/>
        <v>131.16666666666666</v>
      </c>
      <c r="AD368" s="350">
        <f t="shared" si="20"/>
        <v>123</v>
      </c>
      <c r="AE368" s="350">
        <f t="shared" si="395"/>
        <v>-8.3333333333333329E-2</v>
      </c>
      <c r="AF368" s="350">
        <f t="shared" si="440"/>
        <v>82124.005767920651</v>
      </c>
      <c r="AG368" s="350"/>
      <c r="AH368" s="350"/>
      <c r="AI368" s="350"/>
    </row>
    <row r="369" spans="2:37">
      <c r="B369" s="861" t="s">
        <v>1272</v>
      </c>
      <c r="C369" s="289">
        <v>2024</v>
      </c>
      <c r="D369" s="289">
        <f t="shared" si="380"/>
        <v>124</v>
      </c>
      <c r="E369" s="289">
        <v>9</v>
      </c>
      <c r="F369" s="351">
        <v>0</v>
      </c>
      <c r="G369" s="344" t="s">
        <v>169</v>
      </c>
      <c r="H369" s="289">
        <v>7</v>
      </c>
      <c r="I369" s="289">
        <f t="shared" si="381"/>
        <v>131</v>
      </c>
      <c r="L369" s="870">
        <v>238691.45</v>
      </c>
      <c r="M369" s="350"/>
      <c r="N369" s="350">
        <f t="shared" si="396"/>
        <v>238691.45</v>
      </c>
      <c r="O369" s="350">
        <f t="shared" si="397"/>
        <v>2841.5648809523809</v>
      </c>
      <c r="P369" s="350">
        <f t="shared" si="432"/>
        <v>0</v>
      </c>
      <c r="Q369" s="350">
        <f t="shared" si="433"/>
        <v>0</v>
      </c>
      <c r="R369" s="350">
        <f t="shared" si="434"/>
        <v>0</v>
      </c>
      <c r="S369" s="352">
        <f>+'WP-11 - Non-Regulated'!$K$40</f>
        <v>0.5539209822239638</v>
      </c>
      <c r="T369" s="350">
        <f t="shared" si="435"/>
        <v>0</v>
      </c>
      <c r="U369" s="350">
        <f t="shared" si="436"/>
        <v>0</v>
      </c>
      <c r="V369" s="350">
        <f t="shared" si="437"/>
        <v>0</v>
      </c>
      <c r="W369" s="352">
        <v>1</v>
      </c>
      <c r="X369" s="350">
        <f t="shared" si="438"/>
        <v>0</v>
      </c>
      <c r="Y369" s="350">
        <f t="shared" si="439"/>
        <v>0</v>
      </c>
      <c r="Z369" s="350">
        <f t="shared" si="379"/>
        <v>144808.22171174435</v>
      </c>
      <c r="AA369" s="350">
        <f t="shared" si="393"/>
        <v>124.66666666666667</v>
      </c>
      <c r="AB369" s="350">
        <f t="shared" si="19"/>
        <v>124</v>
      </c>
      <c r="AC369" s="350">
        <f t="shared" si="394"/>
        <v>131.66666666666666</v>
      </c>
      <c r="AD369" s="350">
        <f t="shared" si="20"/>
        <v>123</v>
      </c>
      <c r="AE369" s="350">
        <f t="shared" si="395"/>
        <v>-8.3333333333333329E-2</v>
      </c>
      <c r="AF369" s="350">
        <f t="shared" si="440"/>
        <v>93883.228288255661</v>
      </c>
      <c r="AG369" s="350"/>
      <c r="AH369" s="350"/>
      <c r="AI369" s="350"/>
    </row>
    <row r="370" spans="2:37">
      <c r="B370" s="861" t="s">
        <v>1273</v>
      </c>
      <c r="C370" s="289">
        <v>2024</v>
      </c>
      <c r="D370" s="289">
        <f t="shared" si="380"/>
        <v>124</v>
      </c>
      <c r="E370" s="289">
        <v>9</v>
      </c>
      <c r="F370" s="351">
        <v>0</v>
      </c>
      <c r="G370" s="344" t="s">
        <v>169</v>
      </c>
      <c r="H370" s="289">
        <v>7</v>
      </c>
      <c r="I370" s="289">
        <f t="shared" si="381"/>
        <v>131</v>
      </c>
      <c r="L370" s="870">
        <v>205983.85</v>
      </c>
      <c r="M370" s="350"/>
      <c r="N370" s="350">
        <f t="shared" si="396"/>
        <v>205983.85</v>
      </c>
      <c r="O370" s="350">
        <f t="shared" si="397"/>
        <v>2452.1886904761905</v>
      </c>
      <c r="P370" s="350">
        <f t="shared" si="432"/>
        <v>0</v>
      </c>
      <c r="Q370" s="350">
        <f t="shared" si="433"/>
        <v>0</v>
      </c>
      <c r="R370" s="350">
        <f t="shared" si="434"/>
        <v>0</v>
      </c>
      <c r="S370" s="352">
        <f>+'WP-11 - Non-Regulated'!$K$40</f>
        <v>0.5539209822239638</v>
      </c>
      <c r="T370" s="350">
        <f t="shared" si="435"/>
        <v>0</v>
      </c>
      <c r="U370" s="350">
        <f t="shared" si="436"/>
        <v>0</v>
      </c>
      <c r="V370" s="350">
        <f t="shared" si="437"/>
        <v>0</v>
      </c>
      <c r="W370" s="352">
        <v>1</v>
      </c>
      <c r="X370" s="350">
        <f t="shared" si="438"/>
        <v>0</v>
      </c>
      <c r="Y370" s="350">
        <f t="shared" si="439"/>
        <v>0</v>
      </c>
      <c r="Z370" s="350">
        <f t="shared" si="379"/>
        <v>124965.32665849023</v>
      </c>
      <c r="AA370" s="350">
        <f t="shared" si="393"/>
        <v>124.66666666666667</v>
      </c>
      <c r="AB370" s="350">
        <f t="shared" si="19"/>
        <v>124</v>
      </c>
      <c r="AC370" s="350">
        <f t="shared" si="394"/>
        <v>131.66666666666666</v>
      </c>
      <c r="AD370" s="350">
        <f t="shared" si="20"/>
        <v>123</v>
      </c>
      <c r="AE370" s="350">
        <f t="shared" si="395"/>
        <v>-8.3333333333333329E-2</v>
      </c>
      <c r="AF370" s="350">
        <f t="shared" si="440"/>
        <v>81018.523341509775</v>
      </c>
      <c r="AG370" s="350"/>
      <c r="AH370" s="350"/>
      <c r="AI370" s="350"/>
    </row>
    <row r="371" spans="2:37">
      <c r="B371" s="861" t="s">
        <v>1275</v>
      </c>
      <c r="C371" s="289">
        <v>2024</v>
      </c>
      <c r="D371" s="289">
        <f t="shared" si="380"/>
        <v>124</v>
      </c>
      <c r="E371" s="289">
        <v>12</v>
      </c>
      <c r="F371" s="351">
        <v>0</v>
      </c>
      <c r="G371" s="344" t="s">
        <v>169</v>
      </c>
      <c r="H371" s="289">
        <v>7</v>
      </c>
      <c r="I371" s="289">
        <f t="shared" si="381"/>
        <v>131</v>
      </c>
      <c r="L371" s="870">
        <v>220945.97</v>
      </c>
      <c r="M371" s="350"/>
      <c r="N371" s="350">
        <f t="shared" si="396"/>
        <v>220945.97</v>
      </c>
      <c r="O371" s="350">
        <f t="shared" si="397"/>
        <v>2630.3091666666664</v>
      </c>
      <c r="P371" s="350">
        <f t="shared" ref="P371" si="441">IF(Q371&gt;0,0,IF(OR(AA371&gt;AB371,AC371&lt;AD371),0,IF(AND(AC371&gt;=AD371,AC371&lt;=AB371),O371*((AC371-AD371)*12),IF(AND(AD371&lt;=AA371,AB371&gt;=AA371),((AB371-AA371)*12)*O371,IF(AC371&gt;AB371,12*O371,0)))))</f>
        <v>0</v>
      </c>
      <c r="Q371" s="350">
        <f t="shared" ref="Q371" si="442">IF(M371=0,0,IF(AND(AE371&gt;=AD371,AE371&lt;=AC371),((AE371-AD371)*12)*O371,0))</f>
        <v>0</v>
      </c>
      <c r="R371" s="350">
        <f t="shared" ref="R371" si="443">IF(Q371&gt;0,Q371,P371)</f>
        <v>0</v>
      </c>
      <c r="S371" s="352">
        <f>+'WP-11 - Non-Regulated'!$K$40</f>
        <v>0.5539209822239638</v>
      </c>
      <c r="T371" s="350">
        <f t="shared" ref="T371" si="444">S371*SUM(P371:Q371)</f>
        <v>0</v>
      </c>
      <c r="U371" s="350">
        <f t="shared" ref="U371" si="445">IF(AA371&gt;AB371,0,IF(AC371&lt;AD371,N371,IF(AND(AC371&gt;=AD371,AC371&lt;=AB371),(N371-R371),IF(AND(AD371&lt;=AA371,AB371&gt;=AA371),0,IF(AC371&gt;AB371,((AD371-AA371)*12)*O371,0)))))</f>
        <v>0</v>
      </c>
      <c r="V371" s="350">
        <f t="shared" ref="V371" si="446">U371*S371</f>
        <v>0</v>
      </c>
      <c r="W371" s="352">
        <v>1</v>
      </c>
      <c r="X371" s="350">
        <f t="shared" ref="X371" si="447">V371*W371</f>
        <v>0</v>
      </c>
      <c r="Y371" s="350">
        <f t="shared" ref="Y371" si="448">IF(M371&gt;0,0,X371+T371*W371)*W371</f>
        <v>0</v>
      </c>
      <c r="Z371" s="350">
        <f t="shared" si="379"/>
        <v>138413.42652950616</v>
      </c>
      <c r="AA371" s="350">
        <f t="shared" si="393"/>
        <v>124.91666666666667</v>
      </c>
      <c r="AB371" s="350">
        <f t="shared" si="19"/>
        <v>124</v>
      </c>
      <c r="AC371" s="350">
        <f t="shared" si="394"/>
        <v>131.91666666666666</v>
      </c>
      <c r="AD371" s="350">
        <f t="shared" si="20"/>
        <v>123</v>
      </c>
      <c r="AE371" s="350">
        <f t="shared" si="395"/>
        <v>-8.3333333333333329E-2</v>
      </c>
      <c r="AF371" s="350">
        <f t="shared" ref="AF371" si="449">L371-((X371+Y371)/2)-Z371</f>
        <v>82532.543470493838</v>
      </c>
      <c r="AG371" s="350"/>
      <c r="AH371" s="350"/>
      <c r="AI371" s="350"/>
    </row>
    <row r="372" spans="2:37">
      <c r="B372" s="861" t="s">
        <v>1274</v>
      </c>
      <c r="C372" s="289">
        <v>2024</v>
      </c>
      <c r="D372" s="289">
        <f>+C372-1900</f>
        <v>124</v>
      </c>
      <c r="E372" s="289">
        <v>12</v>
      </c>
      <c r="F372" s="351">
        <v>0</v>
      </c>
      <c r="G372" s="344" t="s">
        <v>169</v>
      </c>
      <c r="H372" s="289">
        <v>7</v>
      </c>
      <c r="I372" s="289">
        <f t="shared" ref="I372:I373" si="450">D372+H372</f>
        <v>131</v>
      </c>
      <c r="L372" s="862">
        <v>231818.98</v>
      </c>
      <c r="M372" s="350"/>
      <c r="N372" s="350">
        <f>L372-(+L372*F372)</f>
        <v>231818.98</v>
      </c>
      <c r="O372" s="350">
        <f t="shared" ref="O372:O373" si="451">N372/H372/12</f>
        <v>2759.7497619047622</v>
      </c>
      <c r="P372" s="350">
        <f t="shared" ref="P372" si="452">IF(Q372&gt;0,0,IF(OR(AA372&gt;AB372,AC372&lt;AD372),0,IF(AND(AC372&gt;=AD372,AC372&lt;=AB372),O372*((AC372-AD372)*12),IF(AND(AD372&lt;=AA372,AB372&gt;=AA372),((AB372-AA372)*12)*O372,IF(AC372&gt;AB372,12*O372,0)))))</f>
        <v>0</v>
      </c>
      <c r="Q372" s="350">
        <f t="shared" ref="Q372" si="453">IF(M372=0,0,IF(AND(AE372&gt;=AD372,AE372&lt;=AC372),((AE372-AD372)*12)*O372,0))</f>
        <v>0</v>
      </c>
      <c r="R372" s="350">
        <f t="shared" ref="R372" si="454">IF(Q372&gt;0,Q372,P372)</f>
        <v>0</v>
      </c>
      <c r="S372" s="352">
        <f>+'WP-11 - Non-Regulated'!$K$40</f>
        <v>0.5539209822239638</v>
      </c>
      <c r="T372" s="350">
        <f t="shared" ref="T372" si="455">S372*SUM(P372:Q372)</f>
        <v>0</v>
      </c>
      <c r="U372" s="350">
        <f t="shared" ref="U372" si="456">IF(AA372&gt;AB372,0,IF(AC372&lt;AD372,N372,IF(AND(AC372&gt;=AD372,AC372&lt;=AB372),(N372-R372),IF(AND(AD372&lt;=AA372,AB372&gt;=AA372),0,IF(AC372&gt;AB372,((AD372-AA372)*12)*O372,0)))))</f>
        <v>0</v>
      </c>
      <c r="V372" s="350">
        <f t="shared" ref="V372" si="457">U372*S372</f>
        <v>0</v>
      </c>
      <c r="W372" s="352">
        <v>1</v>
      </c>
      <c r="X372" s="350">
        <f t="shared" ref="X372" si="458">V372*W372</f>
        <v>0</v>
      </c>
      <c r="Y372" s="350">
        <f t="shared" ref="Y372" si="459">IF(M372&gt;0,0,X372+T372*W372)*W372</f>
        <v>0</v>
      </c>
      <c r="Z372" s="350">
        <f t="shared" ref="Z372" si="460">IF((N372-((AB372-AA372)*12*O372))&lt;0,0,IF(AE372&gt;0,0,(N372-((AB372-AA372)*12*(O372))))*S372)</f>
        <v>145224.91338663051</v>
      </c>
      <c r="AA372" s="350">
        <f>$D372+(($E372-1)/12)</f>
        <v>124.91666666666667</v>
      </c>
      <c r="AB372" s="350">
        <f t="shared" si="19"/>
        <v>124</v>
      </c>
      <c r="AC372" s="350">
        <f>$I372+(($E372-1)/12)</f>
        <v>131.91666666666666</v>
      </c>
      <c r="AD372" s="350">
        <f t="shared" si="20"/>
        <v>123</v>
      </c>
      <c r="AE372" s="350">
        <f>$J372+(($K372-1)/12)</f>
        <v>-8.3333333333333329E-2</v>
      </c>
      <c r="AF372" s="350">
        <f t="shared" ref="AF372" si="461">L372-((X372+Y372)/2)-Z372</f>
        <v>86594.066613369505</v>
      </c>
      <c r="AG372" s="350"/>
      <c r="AH372" s="350"/>
      <c r="AI372" s="350"/>
    </row>
    <row r="373" spans="2:37">
      <c r="B373" s="861" t="s">
        <v>1276</v>
      </c>
      <c r="C373" s="289">
        <v>2024</v>
      </c>
      <c r="D373" s="289">
        <v>125</v>
      </c>
      <c r="E373" s="289">
        <v>12</v>
      </c>
      <c r="F373" s="351">
        <v>0</v>
      </c>
      <c r="G373" s="344" t="s">
        <v>169</v>
      </c>
      <c r="H373" s="289">
        <v>7</v>
      </c>
      <c r="I373" s="289">
        <f t="shared" si="450"/>
        <v>132</v>
      </c>
      <c r="L373" s="862">
        <v>159313</v>
      </c>
      <c r="M373" s="350"/>
      <c r="N373" s="350">
        <f>L373-(+L373*F373)</f>
        <v>159313</v>
      </c>
      <c r="O373" s="350">
        <f t="shared" si="451"/>
        <v>1896.5833333333333</v>
      </c>
      <c r="P373" s="350"/>
      <c r="Q373" s="350"/>
      <c r="R373" s="350"/>
      <c r="S373" s="352">
        <f>+S363</f>
        <v>0.45392098222396382</v>
      </c>
      <c r="T373" s="350">
        <f t="shared" ref="T373" si="462">S373*SUM(P373:Q373)</f>
        <v>0</v>
      </c>
      <c r="U373" s="350">
        <f t="shared" ref="U373" si="463">IF(AA373&gt;AB373,0,IF(AC373&lt;AD373,N373,IF(AND(AC373&gt;=AD373,AC373&lt;=AB373),(N373-R373),IF(AND(AD373&lt;=AA373,AB373&gt;=AA373),0,IF(AC373&gt;AB373,((AD373-AA373)*12)*O373,0)))))</f>
        <v>0</v>
      </c>
      <c r="V373" s="350">
        <f t="shared" ref="V373" si="464">U373*S373</f>
        <v>0</v>
      </c>
      <c r="W373" s="352">
        <v>1</v>
      </c>
      <c r="X373" s="350">
        <f t="shared" ref="X373" si="465">V373*W373</f>
        <v>0</v>
      </c>
      <c r="Y373" s="350">
        <f t="shared" ref="Y373" si="466">IF(M373&gt;0,0,X373+T373*W373)*W373</f>
        <v>0</v>
      </c>
      <c r="Z373" s="350">
        <f t="shared" ref="Z373" si="467">IF((N373-((AB373-AA373)*12*O373))&lt;0,0,IF(AE373&gt;0,0,(N373-((AB373-AA373)*12*(O373))))*S373)</f>
        <v>92116.18974038052</v>
      </c>
      <c r="AA373" s="350">
        <f>$D373+(($E373-1)/12)</f>
        <v>125.91666666666667</v>
      </c>
      <c r="AB373" s="350">
        <f t="shared" si="19"/>
        <v>124</v>
      </c>
      <c r="AC373" s="350">
        <f>$I373+(($E373-1)/12)</f>
        <v>132.91666666666666</v>
      </c>
      <c r="AD373" s="350">
        <f t="shared" si="20"/>
        <v>123</v>
      </c>
      <c r="AE373" s="350">
        <f>$J373+(($K373-1)/12)</f>
        <v>-8.3333333333333329E-2</v>
      </c>
      <c r="AF373" s="350">
        <f t="shared" ref="AF373" si="468">L373-((X373+Y373)/2)-Z373</f>
        <v>67196.81025961948</v>
      </c>
      <c r="AG373" s="350"/>
      <c r="AH373" s="350"/>
      <c r="AI373" s="350"/>
    </row>
    <row r="374" spans="2:37">
      <c r="L374" s="653"/>
      <c r="N374" s="653"/>
      <c r="O374" s="653"/>
      <c r="P374" s="653"/>
      <c r="Q374" s="653"/>
      <c r="R374" s="653"/>
      <c r="T374" s="653"/>
      <c r="U374" s="653"/>
      <c r="V374" s="653"/>
      <c r="X374" s="653"/>
      <c r="Y374" s="653"/>
      <c r="AG374" s="350"/>
      <c r="AH374" s="350"/>
      <c r="AI374" s="350"/>
    </row>
    <row r="375" spans="2:37">
      <c r="B375" s="355" t="s">
        <v>170</v>
      </c>
      <c r="F375" s="351"/>
      <c r="G375" s="344"/>
      <c r="L375" s="350">
        <f>SUM(L260:L373)</f>
        <v>13268162.669999996</v>
      </c>
      <c r="M375" s="350"/>
      <c r="N375" s="350">
        <f>SUM(N260:N373)</f>
        <v>13268162.669999996</v>
      </c>
      <c r="O375" s="350">
        <f>SUM(O260:O371)</f>
        <v>158881.02254761895</v>
      </c>
      <c r="P375" s="350">
        <f>SUM(P260:P363)</f>
        <v>822126.95276190469</v>
      </c>
      <c r="Q375" s="350">
        <f>SUM(Q260:Q363)</f>
        <v>47063.236785714529</v>
      </c>
      <c r="R375" s="350">
        <f>SUM(R260:R363)</f>
        <v>869190.1895476192</v>
      </c>
      <c r="S375" s="350"/>
      <c r="T375" s="350">
        <f>SUM(T260:T363)</f>
        <v>470014.52899079362</v>
      </c>
      <c r="U375" s="350">
        <f>SUM(U260:U363)</f>
        <v>6867333.1543809548</v>
      </c>
      <c r="V375" s="350">
        <f>SUM(V260:V363)</f>
        <v>3726248.4713863404</v>
      </c>
      <c r="W375" s="350"/>
      <c r="X375" s="350">
        <f>SUM(X260:X363)</f>
        <v>3726248.4713863404</v>
      </c>
      <c r="Y375" s="350">
        <f>SUM(Y260:Y363)</f>
        <v>4155974.0600227071</v>
      </c>
      <c r="Z375" s="350">
        <f>SUM(Z260:Z363)</f>
        <v>1356569.2543690945</v>
      </c>
      <c r="AA375" s="350"/>
      <c r="AB375" s="350"/>
      <c r="AC375" s="350"/>
      <c r="AD375" s="350"/>
      <c r="AE375" s="350"/>
      <c r="AF375" s="350">
        <f>SUM(AF260:AF363)</f>
        <v>5246249.4799263803</v>
      </c>
    </row>
    <row r="376" spans="2:37">
      <c r="F376" s="351"/>
      <c r="G376" s="344"/>
      <c r="L376" s="350"/>
      <c r="M376" s="350"/>
      <c r="N376" s="350"/>
      <c r="O376" s="350"/>
      <c r="P376" s="350"/>
      <c r="Q376" s="350"/>
      <c r="R376" s="350"/>
      <c r="S376" s="352"/>
      <c r="T376" s="350"/>
      <c r="U376" s="350"/>
      <c r="V376" s="350"/>
      <c r="W376" s="352"/>
      <c r="X376" s="350"/>
      <c r="Y376" s="350"/>
      <c r="Z376" s="350"/>
      <c r="AA376" s="350"/>
      <c r="AB376" s="350"/>
      <c r="AC376" s="350"/>
      <c r="AD376" s="350"/>
      <c r="AE376" s="350"/>
      <c r="AF376" s="350"/>
    </row>
    <row r="377" spans="2:37" ht="16.5" thickBot="1">
      <c r="B377" s="291" t="s">
        <v>1255</v>
      </c>
      <c r="K377" s="356" t="s">
        <v>204</v>
      </c>
      <c r="L377" s="357">
        <f>SUM(L375:L376)</f>
        <v>13268162.669999996</v>
      </c>
      <c r="M377" s="350"/>
      <c r="N377" s="357">
        <f>SUM(N375:N376)</f>
        <v>13268162.669999996</v>
      </c>
      <c r="O377" s="357">
        <f>SUM(O375:O376)</f>
        <v>158881.02254761895</v>
      </c>
      <c r="P377" s="357">
        <f>SUM(P375:P376)</f>
        <v>822126.95276190469</v>
      </c>
      <c r="Q377" s="357">
        <f>SUM(Q375:Q376)</f>
        <v>47063.236785714529</v>
      </c>
      <c r="R377" s="357">
        <f>SUM(R375:R376)</f>
        <v>869190.1895476192</v>
      </c>
      <c r="S377" s="358"/>
      <c r="T377" s="357">
        <f>SUM(T375:T376)</f>
        <v>470014.52899079362</v>
      </c>
      <c r="U377" s="357">
        <f>SUM(U375:U376)</f>
        <v>6867333.1543809548</v>
      </c>
      <c r="V377" s="357">
        <f>SUM(V375:V376)</f>
        <v>3726248.4713863404</v>
      </c>
      <c r="W377" s="358"/>
      <c r="X377" s="357">
        <f>SUM(X375:X376)</f>
        <v>3726248.4713863404</v>
      </c>
      <c r="Y377" s="357">
        <f>SUM(Y375:Y376)</f>
        <v>4155974.0600227071</v>
      </c>
      <c r="Z377" s="357">
        <f>SUM(Z375:Z376)</f>
        <v>1356569.2543690945</v>
      </c>
      <c r="AA377" s="350"/>
      <c r="AB377" s="350"/>
      <c r="AC377" s="350"/>
      <c r="AD377" s="350"/>
      <c r="AE377" s="350"/>
      <c r="AF377" s="655">
        <f>SUM(AF375:AF376)</f>
        <v>5246249.4799263803</v>
      </c>
      <c r="AG377" s="358"/>
      <c r="AH377" s="358"/>
      <c r="AI377" s="358"/>
      <c r="AJ377" s="358"/>
      <c r="AK377" s="358"/>
    </row>
    <row r="378" spans="2:37" ht="16.5" thickTop="1">
      <c r="B378" s="830"/>
      <c r="F378" s="351"/>
      <c r="G378" s="344"/>
      <c r="L378" s="832"/>
      <c r="M378" s="350"/>
      <c r="N378" s="359"/>
      <c r="O378" s="359"/>
      <c r="P378" s="359"/>
      <c r="Q378" s="350"/>
      <c r="R378" s="359"/>
      <c r="S378" s="352"/>
      <c r="T378" s="350"/>
      <c r="U378" s="359"/>
      <c r="V378" s="359"/>
      <c r="W378" s="352"/>
      <c r="X378" s="359"/>
      <c r="Y378" s="359"/>
      <c r="Z378" s="350"/>
      <c r="AA378" s="350"/>
      <c r="AB378" s="350"/>
      <c r="AC378" s="350"/>
      <c r="AD378" s="350"/>
      <c r="AE378" s="350"/>
      <c r="AF378" s="350"/>
      <c r="AG378" s="350"/>
      <c r="AH378" s="350"/>
      <c r="AI378" s="350"/>
    </row>
    <row r="379" spans="2:37">
      <c r="B379" s="291" t="s">
        <v>42</v>
      </c>
      <c r="F379" s="351"/>
      <c r="G379" s="344"/>
      <c r="L379" s="832"/>
      <c r="M379" s="350"/>
      <c r="N379" s="359"/>
      <c r="O379" s="359"/>
      <c r="P379" s="359"/>
      <c r="Q379" s="350"/>
      <c r="R379" s="359"/>
      <c r="S379" s="352"/>
      <c r="T379" s="350"/>
      <c r="U379" s="359"/>
      <c r="V379" s="359"/>
      <c r="W379" s="352"/>
      <c r="X379" s="359"/>
      <c r="Y379" s="359"/>
      <c r="Z379" s="350"/>
      <c r="AA379" s="350"/>
      <c r="AB379" s="350"/>
      <c r="AC379" s="350"/>
      <c r="AD379" s="350"/>
      <c r="AE379" s="350"/>
      <c r="AF379" s="350"/>
      <c r="AG379" s="350"/>
      <c r="AH379" s="350"/>
      <c r="AI379" s="350"/>
    </row>
    <row r="380" spans="2:37">
      <c r="B380" s="289" t="s">
        <v>682</v>
      </c>
      <c r="C380" s="289">
        <v>2019</v>
      </c>
      <c r="D380" s="289">
        <f>+C380-1900</f>
        <v>119</v>
      </c>
      <c r="E380" s="289">
        <v>1</v>
      </c>
      <c r="F380" s="351">
        <v>0</v>
      </c>
      <c r="G380" s="344" t="s">
        <v>169</v>
      </c>
      <c r="H380" s="289">
        <v>7</v>
      </c>
      <c r="I380" s="289">
        <f>D380+H380</f>
        <v>126</v>
      </c>
      <c r="L380" s="350">
        <v>39157.61</v>
      </c>
      <c r="M380" s="350">
        <v>0</v>
      </c>
      <c r="N380" s="359">
        <f>L380-(+L380*F380)</f>
        <v>39157.61</v>
      </c>
      <c r="O380" s="359">
        <f>N380/H380/12</f>
        <v>466.16202380952382</v>
      </c>
      <c r="P380" s="359">
        <f>IF(Q380&gt;0,0,IF(OR(AA380&gt;AB380,AC380&lt;AD380),0,IF(AND(AC380&gt;=AD380,AC380&lt;=AB380),O380*((AC380-AD380)*12),IF(AND(AD380&lt;=AA380,AB380&gt;=AA380),((AB380-AA380)*12)*O380,IF(AC380&gt;AB380,12*O380,0)))))</f>
        <v>5593.9442857142858</v>
      </c>
      <c r="Q380" s="350">
        <f>IF(M380=0,0,IF(AND(AE380&gt;=AD380,AE380&lt;=AC380),((AE380-AD380)*12)*O380,0))</f>
        <v>0</v>
      </c>
      <c r="R380" s="359">
        <f>IF(Q380&gt;0,Q380,P380)</f>
        <v>5593.9442857142858</v>
      </c>
      <c r="S380" s="352">
        <f>+'WP-11 - Non-Regulated'!$K$40</f>
        <v>0.5539209822239638</v>
      </c>
      <c r="T380" s="350">
        <f>S380*SUM(P380:Q380)</f>
        <v>3098.6031132489866</v>
      </c>
      <c r="U380" s="359">
        <f>IF(AA380&gt;AB380,0,IF(AC380&lt;AD380,N380,IF(AND(AC380&gt;=AD380,AC380&lt;=AB380),(N380-R380),IF(AND(AD380&lt;=AA380,AB380&gt;=AA380),0,IF(AC380&gt;AB380,((AD380-AA380)*12)*O380,0)))))</f>
        <v>22375.777142857143</v>
      </c>
      <c r="V380" s="359">
        <f>U380*S380</f>
        <v>12394.412452995946</v>
      </c>
      <c r="W380" s="352">
        <v>1</v>
      </c>
      <c r="X380" s="359">
        <f>V380*W380</f>
        <v>12394.412452995946</v>
      </c>
      <c r="Y380" s="359">
        <f>IF(M380&gt;0,0,X380+T380*W380)*W380</f>
        <v>15493.015566244932</v>
      </c>
      <c r="Z380" s="350">
        <f t="shared" ref="Z380:Z384" si="469">IF((N380-((AB380-AA380)*12*O380))&lt;0,0,IF(AE380&gt;0,0,(N380-((AB380-AA380)*12*(O380))))*S380)</f>
        <v>6197.2062264979731</v>
      </c>
      <c r="AA380" s="350">
        <f>$D380+(($E380-1)/12)</f>
        <v>119</v>
      </c>
      <c r="AB380" s="350">
        <f t="shared" si="145"/>
        <v>124</v>
      </c>
      <c r="AC380" s="350">
        <f>$I380+(($E380-1)/12)</f>
        <v>126</v>
      </c>
      <c r="AD380" s="350">
        <f t="shared" si="146"/>
        <v>123</v>
      </c>
      <c r="AE380" s="350">
        <f>$J380+(($K380-1)/12)</f>
        <v>-8.3333333333333329E-2</v>
      </c>
      <c r="AF380" s="350">
        <f>L380-((X380+Y380)/2)-Z380</f>
        <v>19016.68976388159</v>
      </c>
      <c r="AG380" s="350"/>
      <c r="AH380" s="350"/>
      <c r="AI380" s="350"/>
    </row>
    <row r="381" spans="2:37">
      <c r="B381" s="289" t="s">
        <v>683</v>
      </c>
      <c r="C381" s="289">
        <v>2021</v>
      </c>
      <c r="D381" s="289">
        <f>+C381-1900</f>
        <v>121</v>
      </c>
      <c r="E381" s="289">
        <v>6</v>
      </c>
      <c r="F381" s="351">
        <v>0</v>
      </c>
      <c r="G381" s="344" t="s">
        <v>169</v>
      </c>
      <c r="H381" s="289">
        <v>5</v>
      </c>
      <c r="I381" s="289">
        <f>D381+H381</f>
        <v>126</v>
      </c>
      <c r="L381" s="350">
        <v>1658.16</v>
      </c>
      <c r="M381" s="350">
        <v>0</v>
      </c>
      <c r="N381" s="359">
        <f>L381-(+L381*F381)</f>
        <v>1658.16</v>
      </c>
      <c r="O381" s="359">
        <f>N381/H381/12</f>
        <v>27.635999999999999</v>
      </c>
      <c r="P381" s="359">
        <f>IF(Q381&gt;0,0,IF(OR(AA381&gt;AB381,AC381&lt;AD381),0,IF(AND(AC381&gt;=AD381,AC381&lt;=AB381),O381*((AC381-AD381)*12),IF(AND(AD381&lt;=AA381,AB381&gt;=AA381),((AB381-AA381)*12)*O381,IF(AC381&gt;AB381,12*O381,0)))))</f>
        <v>331.63200000000001</v>
      </c>
      <c r="Q381" s="350">
        <f>IF(M381=0,0,IF(AND(AE381&gt;=AD381,AE381&lt;=AC381),((AE381-AD381)*12)*O381,0))</f>
        <v>0</v>
      </c>
      <c r="R381" s="359">
        <f>IF(Q381&gt;0,Q381,P381)</f>
        <v>331.63200000000001</v>
      </c>
      <c r="S381" s="352">
        <f>+'WP-11 - Non-Regulated'!$K$40</f>
        <v>0.5539209822239638</v>
      </c>
      <c r="T381" s="350">
        <f>S381*SUM(P381:Q381)</f>
        <v>183.69792317689758</v>
      </c>
      <c r="U381" s="359">
        <f>IF(AA381&gt;AB381,0,IF(AC381&lt;AD381,N381,IF(AND(AC381&gt;=AD381,AC381&lt;=AB381),(N381-R381),IF(AND(AD381&lt;=AA381,AB381&gt;=AA381),0,IF(AC381&gt;AB381,((AD381-AA381)*12)*O381,0)))))</f>
        <v>525.08399999999847</v>
      </c>
      <c r="V381" s="359">
        <f>U381*S381</f>
        <v>290.85504503008696</v>
      </c>
      <c r="W381" s="352">
        <v>1</v>
      </c>
      <c r="X381" s="359">
        <f>V381*W381</f>
        <v>290.85504503008696</v>
      </c>
      <c r="Y381" s="359">
        <f>IF(M381&gt;0,0,X381+T381*W381)*W381</f>
        <v>474.55296820698453</v>
      </c>
      <c r="Z381" s="350">
        <f t="shared" si="469"/>
        <v>443.93664767750334</v>
      </c>
      <c r="AA381" s="350">
        <f>$D381+(($E381-1)/12)</f>
        <v>121.41666666666667</v>
      </c>
      <c r="AB381" s="350">
        <f t="shared" si="145"/>
        <v>124</v>
      </c>
      <c r="AC381" s="350">
        <f>$I381+(($E381-1)/12)</f>
        <v>126.41666666666667</v>
      </c>
      <c r="AD381" s="350">
        <f t="shared" si="146"/>
        <v>123</v>
      </c>
      <c r="AE381" s="350">
        <f>$J381+(($K381-1)/12)</f>
        <v>-8.3333333333333329E-2</v>
      </c>
      <c r="AF381" s="350">
        <f>L381-((X381+Y381)/2)-Z381</f>
        <v>831.51934570396111</v>
      </c>
      <c r="AG381" s="350"/>
      <c r="AH381" s="350"/>
      <c r="AI381" s="350"/>
    </row>
    <row r="382" spans="2:37">
      <c r="B382" s="289" t="s">
        <v>863</v>
      </c>
      <c r="C382" s="289">
        <v>2022</v>
      </c>
      <c r="D382" s="289">
        <f>+C382-1900</f>
        <v>122</v>
      </c>
      <c r="E382" s="289">
        <v>5</v>
      </c>
      <c r="F382" s="351">
        <v>0</v>
      </c>
      <c r="G382" s="344" t="s">
        <v>169</v>
      </c>
      <c r="H382" s="289">
        <v>5</v>
      </c>
      <c r="I382" s="289">
        <f>D382+H382</f>
        <v>127</v>
      </c>
      <c r="L382" s="350">
        <v>2540.0300000000002</v>
      </c>
      <c r="M382" s="350">
        <v>0</v>
      </c>
      <c r="N382" s="359">
        <f>L382-(+L382*F382)</f>
        <v>2540.0300000000002</v>
      </c>
      <c r="O382" s="359">
        <f>N382/H382/12</f>
        <v>42.333833333333338</v>
      </c>
      <c r="P382" s="350">
        <f>IF(Q382&gt;0,0,IF(OR(AA382&gt;AB382,AC382&lt;AD382),0,IF(AND(AC382&gt;=AD382,AC382&lt;=AB382),O382*((AC382-AD382)*12),IF(AND(AD382&lt;=AA382,AB382&gt;=AA382),((AB382-AA382)*12)*O382,IF(AC382&gt;AB382,12*O382,0)))))</f>
        <v>508.00600000000009</v>
      </c>
      <c r="Q382" s="350">
        <f>IF(M382=0,0,IF(AND(AE382&gt;=AD382,AE382&lt;=AC382),((AE382-AD382)*12)*O382,0))</f>
        <v>0</v>
      </c>
      <c r="R382" s="359">
        <f>IF(Q382&gt;0,Q382,P382)</f>
        <v>508.00600000000009</v>
      </c>
      <c r="S382" s="352">
        <f>+'WP-11 - Non-Regulated'!$K$40</f>
        <v>0.5539209822239638</v>
      </c>
      <c r="T382" s="350">
        <f>S382*SUM(P382:Q382)</f>
        <v>281.39518249566697</v>
      </c>
      <c r="U382" s="350">
        <f>IF(AA382&gt;AB382,0,IF(AC382&lt;AD382,N382,IF(AND(AC382&gt;=AD382,AC382&lt;=AB382),(N382-R382),IF(AND(AD382&lt;=AA382,AB382&gt;=AA382),0,IF(AC382&gt;AB382,((AD382-AA382)*12)*O382,0)))))</f>
        <v>338.67066666666909</v>
      </c>
      <c r="V382" s="350">
        <f>U382*S382</f>
        <v>187.59678833044597</v>
      </c>
      <c r="W382" s="352">
        <v>1</v>
      </c>
      <c r="X382" s="359">
        <f>V382*W382</f>
        <v>187.59678833044597</v>
      </c>
      <c r="Y382" s="359">
        <f>IF(M382&gt;0,0,X382+T382*W382)*W382</f>
        <v>468.99197082611295</v>
      </c>
      <c r="Z382" s="350">
        <f t="shared" si="469"/>
        <v>937.98394165222203</v>
      </c>
      <c r="AA382" s="350">
        <f>$D382+(($E382-1)/12)</f>
        <v>122.33333333333333</v>
      </c>
      <c r="AB382" s="350">
        <f t="shared" si="145"/>
        <v>124</v>
      </c>
      <c r="AC382" s="350">
        <f>$I382+(($E382-1)/12)</f>
        <v>127.33333333333333</v>
      </c>
      <c r="AD382" s="350">
        <f t="shared" si="146"/>
        <v>123</v>
      </c>
      <c r="AE382" s="350">
        <f>$J382+(($K382-1)/12)</f>
        <v>-8.3333333333333329E-2</v>
      </c>
      <c r="AF382" s="350">
        <f>L382-((X382+Y382)/2)-Z382</f>
        <v>1273.7516787694988</v>
      </c>
      <c r="AG382" s="350"/>
      <c r="AH382" s="350"/>
      <c r="AI382" s="350"/>
    </row>
    <row r="383" spans="2:37">
      <c r="B383" s="830" t="s">
        <v>1256</v>
      </c>
      <c r="C383" s="289">
        <v>2023</v>
      </c>
      <c r="D383" s="289">
        <f>+C383-1900</f>
        <v>123</v>
      </c>
      <c r="E383" s="289">
        <v>10</v>
      </c>
      <c r="F383" s="351">
        <v>0</v>
      </c>
      <c r="G383" s="344" t="s">
        <v>169</v>
      </c>
      <c r="H383" s="289">
        <v>5</v>
      </c>
      <c r="I383" s="289">
        <f>D383+H383</f>
        <v>128</v>
      </c>
      <c r="L383" s="832">
        <v>826.79</v>
      </c>
      <c r="M383" s="350">
        <v>0</v>
      </c>
      <c r="N383" s="359">
        <f t="shared" ref="N383" si="470">L383-(+L383*F383)</f>
        <v>826.79</v>
      </c>
      <c r="O383" s="359">
        <f t="shared" ref="O383" si="471">N383/H383/12</f>
        <v>13.779833333333334</v>
      </c>
      <c r="P383" s="359">
        <f t="shared" ref="P383" si="472">IF(Q383&gt;0,0,IF(OR(AA383&gt;AB383,AC383&lt;AD383),0,IF(AND(AC383&gt;=AD383,AC383&lt;=AB383),O383*((AC383-AD383)*12),IF(AND(AD383&lt;=AA383,AB383&gt;=AA383),((AB383-AA383)*12)*O383,IF(AC383&gt;AB383,12*O383,0)))))</f>
        <v>41.339500000000001</v>
      </c>
      <c r="Q383" s="350">
        <f t="shared" ref="Q383" si="473">IF(M383=0,0,IF(AND(AE383&gt;=AD383,AE383&lt;=AC383),((AE383-AD383)*12)*O383,0))</f>
        <v>0</v>
      </c>
      <c r="R383" s="359">
        <f t="shared" ref="R383" si="474">IF(Q383&gt;0,Q383,P383)</f>
        <v>41.339500000000001</v>
      </c>
      <c r="S383" s="352">
        <f>+'WP-11 - Non-Regulated'!$K$40</f>
        <v>0.5539209822239638</v>
      </c>
      <c r="T383" s="350">
        <f t="shared" ref="T383" si="475">S383*SUM(P383:Q383)</f>
        <v>22.898816444647551</v>
      </c>
      <c r="U383" s="359">
        <f t="shared" ref="U383" si="476">IF(AA383&gt;AB383,0,IF(AC383&lt;AD383,N383,IF(AND(AC383&gt;=AD383,AC383&lt;=AB383),(N383-R383),IF(AND(AD383&lt;=AA383,AB383&gt;=AA383),0,IF(AC383&gt;AB383,((AD383-AA383)*12)*O383,0)))))</f>
        <v>0</v>
      </c>
      <c r="V383" s="359">
        <f t="shared" ref="V383" si="477">U383*S383</f>
        <v>0</v>
      </c>
      <c r="W383" s="352">
        <v>1</v>
      </c>
      <c r="X383" s="359">
        <f t="shared" ref="X383" si="478">V383*W383</f>
        <v>0</v>
      </c>
      <c r="Y383" s="359">
        <f t="shared" ref="Y383" si="479">IF(M383&gt;0,0,X383+T383*W383)*W383</f>
        <v>22.898816444647551</v>
      </c>
      <c r="Z383" s="350">
        <f t="shared" si="469"/>
        <v>435.07751244830342</v>
      </c>
      <c r="AA383" s="350">
        <f t="shared" ref="AA383" si="480">$D383+(($E383-1)/12)</f>
        <v>123.75</v>
      </c>
      <c r="AB383" s="350">
        <f t="shared" si="145"/>
        <v>124</v>
      </c>
      <c r="AC383" s="350">
        <f t="shared" ref="AC383" si="481">$I383+(($E383-1)/12)</f>
        <v>128.75</v>
      </c>
      <c r="AD383" s="350">
        <f t="shared" si="146"/>
        <v>123</v>
      </c>
      <c r="AE383" s="350">
        <f t="shared" ref="AE383" si="482">$J383+(($K383-1)/12)</f>
        <v>-8.3333333333333329E-2</v>
      </c>
      <c r="AF383" s="350">
        <f t="shared" ref="AF383" si="483">L383-((X383+Y383)/2)-Z383</f>
        <v>380.26307932937277</v>
      </c>
      <c r="AG383" s="350"/>
      <c r="AH383" s="350"/>
      <c r="AI383" s="350"/>
    </row>
    <row r="384" spans="2:37">
      <c r="B384" s="353" t="s">
        <v>659</v>
      </c>
      <c r="C384" s="289">
        <v>2019</v>
      </c>
      <c r="D384" s="289">
        <f>+C384-1900</f>
        <v>119</v>
      </c>
      <c r="E384" s="289">
        <v>12</v>
      </c>
      <c r="F384" s="351">
        <v>1</v>
      </c>
      <c r="G384" s="344" t="s">
        <v>169</v>
      </c>
      <c r="H384" s="289">
        <v>40</v>
      </c>
      <c r="I384" s="289">
        <f>D384+H384</f>
        <v>159</v>
      </c>
      <c r="L384" s="350">
        <v>352242</v>
      </c>
      <c r="M384" s="350">
        <v>0</v>
      </c>
      <c r="N384" s="350">
        <f>L384-(+L384*F384)</f>
        <v>0</v>
      </c>
      <c r="O384" s="350">
        <f>N384/H384/12</f>
        <v>0</v>
      </c>
      <c r="P384" s="350">
        <f>IF(Q384&gt;0,0,IF(OR(AA384&gt;AB384,AC384&lt;AD384),0,IF(AND(AC384&gt;=AD384,AC384&lt;=AB384),O384*((AC384-AD384)*12),IF(AND(AD384&lt;=AA384,AB384&gt;=AA384),((AB384-AA384)*12)*O384,IF(AC384&gt;AB384,12*O384,0)))))</f>
        <v>0</v>
      </c>
      <c r="Q384" s="350">
        <f>IF(M384=0,0,IF(AND(AE384&gt;=AD384,AE384&lt;=AC384),((AE384-AD384)*12)*O384,0))</f>
        <v>0</v>
      </c>
      <c r="R384" s="350">
        <f>IF(Q384&gt;0,Q384,P384)</f>
        <v>0</v>
      </c>
      <c r="S384" s="352">
        <f>+'WP-11 - Non-Regulated'!$K$40</f>
        <v>0.5539209822239638</v>
      </c>
      <c r="T384" s="350">
        <f>S384*SUM(P384:Q384)</f>
        <v>0</v>
      </c>
      <c r="U384" s="350">
        <f>IF(AA384&gt;AB384,0,IF(AC384&lt;AD384,N384,IF(AND(AC384&gt;=AD384,AC384&lt;=AB384),(N384-R384),IF(AND(AD384&lt;=AA384,AB384&gt;=AA384),0,IF(AC384&gt;AB384,((AD384-AA384)*12)*O384,0)))))</f>
        <v>0</v>
      </c>
      <c r="V384" s="350">
        <f>U384*S384</f>
        <v>0</v>
      </c>
      <c r="W384" s="352">
        <v>1</v>
      </c>
      <c r="X384" s="350">
        <f>V384*W384</f>
        <v>0</v>
      </c>
      <c r="Y384" s="350">
        <f>IF(M384&gt;0,0,X384+T384*W384)*W384</f>
        <v>0</v>
      </c>
      <c r="Z384" s="350">
        <f t="shared" si="469"/>
        <v>0</v>
      </c>
      <c r="AA384" s="350">
        <f>$D384+(($E384-1)/12)</f>
        <v>119.91666666666667</v>
      </c>
      <c r="AB384" s="350">
        <f t="shared" si="112"/>
        <v>124</v>
      </c>
      <c r="AC384" s="350">
        <f>$I384+(($E384-1)/12)</f>
        <v>159.91666666666666</v>
      </c>
      <c r="AD384" s="350">
        <f t="shared" si="113"/>
        <v>123</v>
      </c>
      <c r="AE384" s="350">
        <f>$J384+(($K384-1)/12)</f>
        <v>-8.3333333333333329E-2</v>
      </c>
      <c r="AF384" s="350">
        <f>L384-((X384+Y384)/2)-Z384</f>
        <v>352242</v>
      </c>
      <c r="AG384" s="350"/>
      <c r="AH384" s="350"/>
      <c r="AI384" s="350"/>
    </row>
    <row r="385" spans="2:37">
      <c r="B385" s="817"/>
      <c r="F385" s="351"/>
      <c r="G385" s="344"/>
      <c r="L385" s="820"/>
      <c r="M385" s="350"/>
      <c r="N385" s="354"/>
      <c r="O385" s="354"/>
      <c r="P385" s="354"/>
      <c r="Q385" s="354"/>
      <c r="R385" s="354"/>
      <c r="S385" s="352"/>
      <c r="T385" s="354"/>
      <c r="U385" s="354"/>
      <c r="V385" s="354"/>
      <c r="W385" s="352"/>
      <c r="X385" s="354"/>
      <c r="Y385" s="354"/>
      <c r="Z385" s="354"/>
      <c r="AA385" s="350"/>
      <c r="AB385" s="350"/>
      <c r="AC385" s="350"/>
      <c r="AD385" s="350"/>
      <c r="AE385" s="350"/>
      <c r="AF385" s="354"/>
      <c r="AG385" s="350"/>
      <c r="AH385" s="350"/>
      <c r="AI385" s="350"/>
    </row>
    <row r="386" spans="2:37">
      <c r="B386" s="355" t="s">
        <v>170</v>
      </c>
      <c r="F386" s="351"/>
      <c r="G386" s="344"/>
      <c r="L386" s="350">
        <f>SUM(L380:L384)</f>
        <v>396424.59</v>
      </c>
      <c r="M386" s="350"/>
      <c r="N386" s="350">
        <f>SUM(N380:N384)</f>
        <v>44182.590000000004</v>
      </c>
      <c r="O386" s="350">
        <f>SUM(O380:O384)</f>
        <v>549.91169047619053</v>
      </c>
      <c r="P386" s="350">
        <f>SUM(P380:P384)</f>
        <v>6474.9217857142858</v>
      </c>
      <c r="Q386" s="350">
        <f>SUM(Q380:Q384)</f>
        <v>0</v>
      </c>
      <c r="R386" s="350">
        <f>SUM(R380:R384)</f>
        <v>6474.9217857142858</v>
      </c>
      <c r="S386" s="350"/>
      <c r="T386" s="350">
        <f>SUM(T380:T384)</f>
        <v>3586.5950353661992</v>
      </c>
      <c r="U386" s="350">
        <f>SUM(U380:U384)</f>
        <v>23239.531809523811</v>
      </c>
      <c r="V386" s="350">
        <f>SUM(V380:V384)</f>
        <v>12872.864286356478</v>
      </c>
      <c r="W386" s="350"/>
      <c r="X386" s="350">
        <f>SUM(X380:X384)</f>
        <v>12872.864286356478</v>
      </c>
      <c r="Y386" s="350">
        <f>SUM(Y380:Y384)</f>
        <v>16459.459321722679</v>
      </c>
      <c r="Z386" s="350">
        <f>SUM(Z380:Z384)</f>
        <v>8014.2043282760014</v>
      </c>
      <c r="AA386" s="350"/>
      <c r="AB386" s="350"/>
      <c r="AC386" s="350"/>
      <c r="AD386" s="350"/>
      <c r="AE386" s="350"/>
      <c r="AF386" s="350">
        <f>SUM(AF380:AF384)</f>
        <v>373744.22386768443</v>
      </c>
    </row>
    <row r="387" spans="2:37">
      <c r="F387" s="351"/>
      <c r="G387" s="344"/>
      <c r="L387" s="350"/>
      <c r="M387" s="350"/>
      <c r="N387" s="350"/>
      <c r="O387" s="350"/>
      <c r="P387" s="350"/>
      <c r="Q387" s="350"/>
      <c r="R387" s="350"/>
      <c r="S387" s="352"/>
      <c r="T387" s="350"/>
      <c r="U387" s="350"/>
      <c r="V387" s="350"/>
      <c r="W387" s="352"/>
      <c r="X387" s="350"/>
      <c r="Y387" s="350"/>
      <c r="Z387" s="350"/>
      <c r="AA387" s="350"/>
      <c r="AB387" s="350"/>
      <c r="AC387" s="350"/>
      <c r="AD387" s="350"/>
      <c r="AE387" s="350"/>
      <c r="AF387" s="350"/>
    </row>
    <row r="388" spans="2:37" ht="16.5" thickBot="1">
      <c r="B388" s="291" t="s">
        <v>376</v>
      </c>
      <c r="K388" s="356" t="s">
        <v>204</v>
      </c>
      <c r="L388" s="357">
        <f>SUM(L386:L387)</f>
        <v>396424.59</v>
      </c>
      <c r="M388" s="350"/>
      <c r="N388" s="357">
        <f>SUM(N386:N387)</f>
        <v>44182.590000000004</v>
      </c>
      <c r="O388" s="357">
        <f>SUM(O386:O387)</f>
        <v>549.91169047619053</v>
      </c>
      <c r="P388" s="357">
        <f>SUM(P386:P387)</f>
        <v>6474.9217857142858</v>
      </c>
      <c r="Q388" s="357">
        <f>SUM(Q386:Q387)</f>
        <v>0</v>
      </c>
      <c r="R388" s="357">
        <f>SUM(R386:R387)</f>
        <v>6474.9217857142858</v>
      </c>
      <c r="S388" s="358"/>
      <c r="T388" s="357">
        <f>SUM(T386:T387)</f>
        <v>3586.5950353661992</v>
      </c>
      <c r="U388" s="357">
        <f>SUM(U386:U387)</f>
        <v>23239.531809523811</v>
      </c>
      <c r="V388" s="357">
        <f>SUM(V386:V387)</f>
        <v>12872.864286356478</v>
      </c>
      <c r="W388" s="358"/>
      <c r="X388" s="357">
        <f>SUM(X386:X387)</f>
        <v>12872.864286356478</v>
      </c>
      <c r="Y388" s="357">
        <f>SUM(Y386:Y387)</f>
        <v>16459.459321722679</v>
      </c>
      <c r="Z388" s="357">
        <f>SUM(Z386:Z387)</f>
        <v>8014.2043282760014</v>
      </c>
      <c r="AA388" s="350"/>
      <c r="AB388" s="350"/>
      <c r="AC388" s="350"/>
      <c r="AD388" s="350"/>
      <c r="AE388" s="350"/>
      <c r="AF388" s="655">
        <f>SUM(AF386:AF387)</f>
        <v>373744.22386768443</v>
      </c>
      <c r="AG388" s="358"/>
      <c r="AH388" s="358"/>
      <c r="AI388" s="358"/>
      <c r="AJ388" s="358"/>
      <c r="AK388" s="358"/>
    </row>
    <row r="389" spans="2:37" ht="16.5" thickTop="1">
      <c r="B389" s="830"/>
      <c r="F389" s="351"/>
      <c r="G389" s="344"/>
      <c r="L389" s="832"/>
      <c r="M389" s="350"/>
      <c r="N389" s="359"/>
      <c r="O389" s="359"/>
      <c r="P389" s="359"/>
      <c r="Q389" s="350"/>
      <c r="R389" s="359"/>
      <c r="S389" s="352"/>
      <c r="T389" s="350"/>
      <c r="U389" s="359"/>
      <c r="V389" s="359"/>
      <c r="W389" s="352"/>
      <c r="X389" s="359"/>
      <c r="Y389" s="359"/>
      <c r="Z389" s="350"/>
      <c r="AA389" s="350"/>
      <c r="AB389" s="350"/>
      <c r="AC389" s="350"/>
      <c r="AD389" s="350"/>
      <c r="AE389" s="350"/>
      <c r="AF389" s="350"/>
      <c r="AG389" s="350"/>
      <c r="AH389" s="350"/>
      <c r="AI389" s="350"/>
    </row>
    <row r="390" spans="2:37">
      <c r="B390" s="830"/>
      <c r="F390" s="351"/>
      <c r="G390" s="344"/>
      <c r="L390" s="832"/>
      <c r="M390" s="350"/>
      <c r="N390" s="359"/>
      <c r="O390" s="359"/>
      <c r="P390" s="350">
        <f>+P388+P377+P257+P217+P183+P165+P152+P127</f>
        <v>1182351.8902746169</v>
      </c>
      <c r="Q390" s="350">
        <f>+Q388+Q377+Q257+Q217+Q183+Q165+Q152+Q127</f>
        <v>47063.236785714529</v>
      </c>
      <c r="R390" s="359"/>
      <c r="S390" s="352"/>
      <c r="T390" s="350">
        <f>+T388+T377+T257+T217+T183+T165+T152+T127</f>
        <v>653081.05528299452</v>
      </c>
      <c r="U390" s="359"/>
      <c r="V390" s="359"/>
      <c r="W390" s="352"/>
      <c r="X390" s="359"/>
      <c r="Y390" s="359"/>
      <c r="Z390" s="350"/>
      <c r="AA390" s="350"/>
      <c r="AB390" s="350"/>
      <c r="AC390" s="350"/>
      <c r="AD390" s="350"/>
      <c r="AE390" s="350"/>
      <c r="AF390" s="350"/>
      <c r="AG390" s="350"/>
      <c r="AH390" s="350"/>
      <c r="AI390" s="350"/>
    </row>
    <row r="391" spans="2:37">
      <c r="B391" s="830"/>
      <c r="F391" s="351"/>
      <c r="G391" s="344"/>
      <c r="L391" s="832"/>
      <c r="M391" s="350"/>
      <c r="N391" s="359"/>
      <c r="O391" s="359"/>
      <c r="P391" s="359">
        <f>+P390+Q390</f>
        <v>1229415.1270603314</v>
      </c>
      <c r="Q391" s="350"/>
      <c r="R391" s="359"/>
      <c r="S391" s="352" t="s">
        <v>834</v>
      </c>
      <c r="T391" s="350">
        <f>+P391-T390</f>
        <v>576334.07177733688</v>
      </c>
      <c r="U391" s="359"/>
      <c r="V391" s="359"/>
      <c r="W391" s="352"/>
      <c r="X391" s="359"/>
      <c r="Y391" s="359"/>
      <c r="Z391" s="350"/>
      <c r="AA391" s="350"/>
      <c r="AB391" s="350"/>
      <c r="AC391" s="350"/>
      <c r="AD391" s="350"/>
      <c r="AE391" s="350"/>
      <c r="AF391" s="350"/>
      <c r="AG391" s="350"/>
      <c r="AH391" s="350"/>
      <c r="AI391" s="350"/>
    </row>
    <row r="392" spans="2:37">
      <c r="B392" s="830"/>
      <c r="F392" s="351"/>
      <c r="G392" s="344"/>
      <c r="L392" s="832"/>
      <c r="M392" s="350"/>
      <c r="N392" s="359"/>
      <c r="O392" s="359"/>
      <c r="P392" s="359"/>
      <c r="Q392" s="350"/>
      <c r="R392" s="359"/>
      <c r="S392" s="352"/>
      <c r="T392" s="350"/>
      <c r="U392" s="359"/>
      <c r="V392" s="359"/>
      <c r="W392" s="352"/>
      <c r="X392" s="359"/>
      <c r="Y392" s="359"/>
      <c r="Z392" s="350"/>
      <c r="AA392" s="350"/>
      <c r="AB392" s="350"/>
      <c r="AC392" s="350"/>
      <c r="AD392" s="350"/>
      <c r="AE392" s="350"/>
      <c r="AF392" s="350"/>
      <c r="AG392" s="350"/>
      <c r="AH392" s="350"/>
      <c r="AI392" s="350"/>
    </row>
    <row r="393" spans="2:37">
      <c r="B393" s="830"/>
      <c r="F393" s="351"/>
      <c r="G393" s="344"/>
      <c r="L393" s="832"/>
      <c r="M393" s="350"/>
      <c r="N393" s="359"/>
      <c r="O393" s="359"/>
      <c r="P393" s="359"/>
      <c r="Q393" s="350"/>
      <c r="R393" s="359"/>
      <c r="S393" s="352" t="s">
        <v>1268</v>
      </c>
      <c r="T393" s="350">
        <f>+Operations!I77+Operations!I75</f>
        <v>653081.05528299452</v>
      </c>
      <c r="U393" s="359"/>
      <c r="V393" s="359"/>
      <c r="W393" s="352"/>
      <c r="X393" s="359"/>
      <c r="Y393" s="359"/>
      <c r="Z393" s="350"/>
      <c r="AA393" s="350"/>
      <c r="AB393" s="350"/>
      <c r="AC393" s="350"/>
      <c r="AD393" s="350"/>
      <c r="AE393" s="350"/>
      <c r="AF393" s="350"/>
      <c r="AG393" s="350"/>
      <c r="AH393" s="350"/>
      <c r="AI393" s="350"/>
    </row>
    <row r="394" spans="2:37">
      <c r="B394" s="830"/>
      <c r="F394" s="351"/>
      <c r="G394" s="344"/>
      <c r="L394" s="832"/>
      <c r="M394" s="350"/>
      <c r="N394" s="359"/>
      <c r="O394" s="359"/>
      <c r="P394" s="359"/>
      <c r="Q394" s="350"/>
      <c r="R394" s="359"/>
      <c r="S394" s="352"/>
      <c r="T394" s="350"/>
      <c r="U394" s="359"/>
      <c r="V394" s="359"/>
      <c r="W394" s="352"/>
      <c r="X394" s="359"/>
      <c r="Y394" s="359"/>
      <c r="Z394" s="350"/>
      <c r="AA394" s="350"/>
      <c r="AB394" s="350"/>
      <c r="AC394" s="350"/>
      <c r="AD394" s="350"/>
      <c r="AE394" s="350"/>
      <c r="AF394" s="350"/>
      <c r="AG394" s="350"/>
      <c r="AH394" s="350"/>
      <c r="AI394" s="350"/>
    </row>
    <row r="395" spans="2:37">
      <c r="B395" s="830"/>
      <c r="F395" s="351"/>
      <c r="G395" s="344"/>
      <c r="L395" s="832"/>
      <c r="M395" s="350"/>
      <c r="N395" s="359"/>
      <c r="O395" s="359"/>
      <c r="P395" s="359"/>
      <c r="Q395" s="350"/>
      <c r="R395" s="359"/>
      <c r="S395" s="352"/>
      <c r="T395" s="350"/>
      <c r="U395" s="359"/>
      <c r="V395" s="359"/>
      <c r="W395" s="352"/>
      <c r="X395" s="359"/>
      <c r="Y395" s="359"/>
      <c r="Z395" s="350"/>
      <c r="AA395" s="350"/>
      <c r="AB395" s="350"/>
      <c r="AC395" s="350"/>
      <c r="AD395" s="350"/>
      <c r="AE395" s="350"/>
      <c r="AF395" s="350"/>
      <c r="AG395" s="350"/>
      <c r="AH395" s="350"/>
      <c r="AI395" s="350"/>
    </row>
    <row r="396" spans="2:37">
      <c r="B396" s="291"/>
      <c r="K396" s="356"/>
      <c r="L396" s="343"/>
      <c r="M396" s="350"/>
      <c r="N396" s="343"/>
      <c r="O396" s="343"/>
      <c r="P396" s="343"/>
      <c r="Q396" s="343"/>
      <c r="R396" s="343"/>
      <c r="S396" s="358"/>
      <c r="T396" s="343"/>
      <c r="U396" s="343"/>
      <c r="V396" s="343"/>
      <c r="W396" s="358"/>
      <c r="X396" s="343"/>
      <c r="Y396" s="343"/>
      <c r="Z396" s="343"/>
      <c r="AA396" s="350"/>
      <c r="AB396" s="350"/>
      <c r="AC396" s="350"/>
      <c r="AD396" s="350"/>
      <c r="AE396" s="350"/>
      <c r="AF396" s="350"/>
      <c r="AG396" s="358"/>
      <c r="AH396" s="358"/>
      <c r="AI396" s="358"/>
      <c r="AJ396" s="358"/>
      <c r="AK396" s="358"/>
    </row>
    <row r="397" spans="2:37">
      <c r="L397" s="350"/>
      <c r="M397" s="350"/>
      <c r="N397" s="350"/>
      <c r="O397" s="350"/>
      <c r="P397" s="350"/>
      <c r="Q397" s="350"/>
      <c r="R397" s="350"/>
      <c r="T397" s="350"/>
      <c r="U397" s="350"/>
      <c r="V397" s="350"/>
      <c r="W397" s="358"/>
      <c r="X397" s="350"/>
      <c r="Y397" s="350"/>
      <c r="Z397" s="350"/>
      <c r="AA397" s="350"/>
      <c r="AB397" s="350"/>
      <c r="AC397" s="350"/>
      <c r="AD397" s="350"/>
      <c r="AE397" s="350"/>
      <c r="AF397" s="350"/>
      <c r="AG397" s="350"/>
      <c r="AH397" s="350"/>
      <c r="AI397" s="350"/>
    </row>
    <row r="398" spans="2:37">
      <c r="B398" s="953" t="s">
        <v>402</v>
      </c>
      <c r="C398" s="953"/>
      <c r="L398" s="350"/>
      <c r="M398" s="350"/>
      <c r="N398" s="350"/>
      <c r="O398" s="350"/>
      <c r="P398" s="350"/>
      <c r="Q398" s="350"/>
      <c r="R398" s="350"/>
      <c r="T398" s="350"/>
      <c r="U398" s="350"/>
      <c r="V398" s="350"/>
      <c r="X398" s="350"/>
      <c r="Y398" s="350"/>
      <c r="Z398" s="350"/>
      <c r="AA398" s="350"/>
      <c r="AB398" s="350"/>
      <c r="AC398" s="350"/>
      <c r="AD398" s="350"/>
      <c r="AE398" s="350"/>
      <c r="AF398" s="350"/>
      <c r="AG398" s="350"/>
      <c r="AH398" s="350"/>
      <c r="AI398" s="350"/>
    </row>
    <row r="399" spans="2:37">
      <c r="B399" s="355" t="s">
        <v>1358</v>
      </c>
      <c r="C399" s="577">
        <f>+(O369+O370+O371+O372+O366+O367+O368+O178+O179)*S372</f>
        <v>13660.749252455857</v>
      </c>
      <c r="L399" s="350"/>
      <c r="M399" s="350"/>
      <c r="N399" s="350"/>
      <c r="O399" s="350"/>
      <c r="P399" s="350"/>
      <c r="Q399" s="350"/>
      <c r="R399" s="350"/>
      <c r="S399" s="358"/>
      <c r="T399" s="350"/>
      <c r="U399" s="350"/>
      <c r="V399" s="350"/>
      <c r="W399" s="358"/>
      <c r="X399" s="350"/>
      <c r="Y399" s="350"/>
      <c r="Z399" s="350"/>
      <c r="AA399" s="350"/>
      <c r="AB399" s="350"/>
      <c r="AC399" s="350"/>
      <c r="AD399" s="350"/>
      <c r="AE399" s="350"/>
      <c r="AF399" s="350"/>
      <c r="AG399" s="350"/>
      <c r="AH399" s="350"/>
      <c r="AI399" s="350"/>
    </row>
    <row r="400" spans="2:37">
      <c r="B400" s="355" t="s">
        <v>403</v>
      </c>
      <c r="C400" s="578">
        <v>12</v>
      </c>
      <c r="L400" s="350"/>
      <c r="M400" s="350"/>
      <c r="N400" s="350"/>
      <c r="O400" s="350"/>
      <c r="P400" s="350"/>
      <c r="Q400" s="350"/>
      <c r="R400" s="350"/>
      <c r="S400" s="350"/>
      <c r="T400" s="350"/>
      <c r="U400" s="350"/>
      <c r="V400" s="350"/>
      <c r="W400" s="350"/>
      <c r="X400" s="350"/>
      <c r="Y400" s="350"/>
      <c r="Z400" s="350"/>
      <c r="AA400" s="350"/>
      <c r="AB400" s="350"/>
      <c r="AC400" s="350"/>
      <c r="AD400" s="350"/>
      <c r="AE400" s="350"/>
      <c r="AF400" s="350"/>
      <c r="AG400" s="350"/>
      <c r="AH400" s="350"/>
      <c r="AI400" s="350"/>
    </row>
    <row r="401" spans="2:35">
      <c r="B401" s="355" t="s">
        <v>404</v>
      </c>
      <c r="C401" s="577">
        <f>+C399*C400</f>
        <v>163928.99102947029</v>
      </c>
      <c r="L401" s="350"/>
      <c r="M401" s="350"/>
      <c r="N401" s="350"/>
      <c r="O401" s="350"/>
      <c r="P401" s="350"/>
      <c r="Q401" s="350"/>
      <c r="R401" s="350"/>
      <c r="T401" s="350"/>
      <c r="U401" s="350"/>
      <c r="V401" s="350"/>
      <c r="X401" s="350"/>
      <c r="Y401" s="350"/>
      <c r="Z401" s="350"/>
      <c r="AA401" s="350"/>
      <c r="AB401" s="350"/>
      <c r="AC401" s="350"/>
      <c r="AD401" s="350"/>
      <c r="AE401" s="350"/>
      <c r="AF401" s="350"/>
      <c r="AG401" s="350"/>
      <c r="AH401" s="350"/>
      <c r="AI401" s="350"/>
    </row>
    <row r="402" spans="2:35">
      <c r="B402" s="355"/>
      <c r="C402" s="577"/>
      <c r="L402" s="350"/>
      <c r="M402" s="350"/>
      <c r="N402" s="350"/>
      <c r="O402" s="350"/>
      <c r="P402" s="350"/>
      <c r="Q402" s="350"/>
      <c r="R402" s="350"/>
      <c r="T402" s="350"/>
      <c r="U402" s="350"/>
      <c r="V402" s="350"/>
      <c r="X402" s="350"/>
      <c r="Y402" s="350"/>
      <c r="Z402" s="350"/>
      <c r="AA402" s="350"/>
      <c r="AB402" s="350"/>
      <c r="AC402" s="350"/>
      <c r="AD402" s="350"/>
      <c r="AE402" s="350"/>
      <c r="AF402" s="350"/>
      <c r="AG402" s="350"/>
      <c r="AH402" s="350"/>
      <c r="AI402" s="350"/>
    </row>
    <row r="403" spans="2:35">
      <c r="B403" s="355" t="s">
        <v>1359</v>
      </c>
      <c r="C403" s="350">
        <f>+(O373+O364+O213+O212)*S373</f>
        <v>3373.6135833985036</v>
      </c>
      <c r="L403" s="350"/>
      <c r="M403" s="350"/>
      <c r="N403" s="350"/>
      <c r="O403" s="350"/>
      <c r="P403" s="350"/>
      <c r="Q403" s="350"/>
      <c r="R403" s="350"/>
      <c r="T403" s="350"/>
      <c r="U403" s="350"/>
      <c r="V403" s="350"/>
      <c r="X403" s="350"/>
      <c r="Y403" s="350"/>
      <c r="Z403" s="350"/>
      <c r="AA403" s="350"/>
      <c r="AB403" s="350"/>
      <c r="AC403" s="350"/>
      <c r="AD403" s="350"/>
      <c r="AE403" s="350"/>
      <c r="AF403" s="350"/>
      <c r="AG403" s="350"/>
      <c r="AH403" s="350"/>
      <c r="AI403" s="350"/>
    </row>
    <row r="404" spans="2:35">
      <c r="B404" s="355" t="s">
        <v>403</v>
      </c>
      <c r="C404" s="606">
        <v>12</v>
      </c>
      <c r="L404" s="350"/>
      <c r="M404" s="350"/>
      <c r="N404" s="350"/>
      <c r="O404" s="350"/>
      <c r="P404" s="350"/>
      <c r="Q404" s="350"/>
      <c r="R404" s="350"/>
      <c r="T404" s="350"/>
      <c r="U404" s="350"/>
      <c r="V404" s="350"/>
      <c r="W404" s="358"/>
      <c r="X404" s="350"/>
      <c r="Y404" s="350"/>
      <c r="Z404" s="350"/>
      <c r="AA404" s="350"/>
      <c r="AB404" s="350"/>
      <c r="AC404" s="350"/>
      <c r="AD404" s="350"/>
      <c r="AE404" s="350"/>
      <c r="AF404" s="350"/>
      <c r="AG404" s="350"/>
      <c r="AH404" s="350"/>
      <c r="AI404" s="350"/>
    </row>
    <row r="405" spans="2:35">
      <c r="B405" s="355" t="s">
        <v>404</v>
      </c>
      <c r="C405" s="590">
        <f>+C403*C404</f>
        <v>40483.363000782047</v>
      </c>
      <c r="L405" s="350"/>
      <c r="M405" s="350"/>
      <c r="N405" s="350"/>
      <c r="O405" s="350"/>
      <c r="P405" s="350"/>
      <c r="Q405" s="350"/>
      <c r="R405" s="350"/>
      <c r="T405" s="350"/>
      <c r="U405" s="350"/>
      <c r="V405" s="350"/>
      <c r="W405" s="358"/>
      <c r="X405" s="350"/>
      <c r="Y405" s="350"/>
      <c r="Z405" s="350"/>
      <c r="AA405" s="350"/>
      <c r="AB405" s="350"/>
      <c r="AC405" s="350"/>
      <c r="AD405" s="350"/>
      <c r="AE405" s="350"/>
      <c r="AF405" s="350"/>
      <c r="AG405" s="350"/>
      <c r="AH405" s="350"/>
      <c r="AI405" s="350"/>
    </row>
    <row r="406" spans="2:35">
      <c r="L406" s="350"/>
      <c r="M406" s="350"/>
      <c r="N406" s="350"/>
      <c r="O406" s="350"/>
      <c r="P406" s="350"/>
      <c r="Q406" s="350"/>
      <c r="R406" s="350"/>
      <c r="T406" s="350"/>
      <c r="U406" s="350"/>
      <c r="V406" s="350"/>
      <c r="X406" s="350"/>
      <c r="Y406" s="350"/>
      <c r="Z406" s="350"/>
      <c r="AA406" s="350"/>
      <c r="AB406" s="350"/>
      <c r="AC406" s="350"/>
      <c r="AD406" s="350"/>
      <c r="AE406" s="350"/>
      <c r="AF406" s="350"/>
      <c r="AG406" s="350"/>
      <c r="AH406" s="350"/>
      <c r="AI406" s="350"/>
    </row>
    <row r="407" spans="2:35">
      <c r="B407" s="355" t="s">
        <v>0</v>
      </c>
      <c r="C407" s="350">
        <f>+C401+C405</f>
        <v>204412.35403025232</v>
      </c>
      <c r="L407" s="350"/>
      <c r="M407" s="350"/>
      <c r="N407" s="350"/>
      <c r="O407" s="350"/>
      <c r="P407" s="350"/>
      <c r="Q407" s="350"/>
      <c r="R407" s="350"/>
      <c r="T407" s="350"/>
      <c r="U407" s="350"/>
      <c r="V407" s="350"/>
      <c r="X407" s="350"/>
      <c r="Y407" s="350"/>
      <c r="Z407" s="350"/>
      <c r="AA407" s="350"/>
      <c r="AB407" s="350"/>
      <c r="AC407" s="350"/>
      <c r="AD407" s="350"/>
      <c r="AE407" s="350"/>
      <c r="AF407" s="350"/>
      <c r="AG407" s="350"/>
      <c r="AH407" s="350"/>
      <c r="AI407" s="350"/>
    </row>
    <row r="408" spans="2:35">
      <c r="L408" s="350"/>
      <c r="M408" s="350"/>
      <c r="N408" s="350"/>
      <c r="O408" s="350"/>
      <c r="P408" s="350"/>
      <c r="Q408" s="350"/>
      <c r="R408" s="350"/>
      <c r="T408" s="350"/>
      <c r="U408" s="350"/>
      <c r="V408" s="350"/>
      <c r="X408" s="350"/>
      <c r="Y408" s="350"/>
      <c r="Z408" s="350"/>
      <c r="AA408" s="350"/>
      <c r="AB408" s="350"/>
      <c r="AC408" s="350"/>
      <c r="AD408" s="350"/>
      <c r="AE408" s="350"/>
      <c r="AF408" s="350"/>
      <c r="AG408" s="350"/>
      <c r="AH408" s="350"/>
      <c r="AI408" s="350"/>
    </row>
    <row r="409" spans="2:35">
      <c r="L409" s="350"/>
      <c r="M409" s="350"/>
      <c r="N409" s="350"/>
      <c r="O409" s="350"/>
      <c r="P409" s="350"/>
      <c r="Q409" s="350"/>
      <c r="R409" s="350"/>
      <c r="T409" s="350"/>
      <c r="U409" s="350"/>
      <c r="V409" s="350"/>
      <c r="X409" s="350"/>
      <c r="Y409" s="350"/>
      <c r="Z409" s="350"/>
      <c r="AA409" s="350"/>
      <c r="AB409" s="350"/>
      <c r="AC409" s="350"/>
      <c r="AD409" s="350"/>
      <c r="AE409" s="350"/>
      <c r="AF409" s="350"/>
      <c r="AG409" s="350"/>
      <c r="AH409" s="350"/>
      <c r="AI409" s="350"/>
    </row>
    <row r="410" spans="2:35">
      <c r="L410" s="358"/>
      <c r="T410" s="350"/>
      <c r="U410" s="350"/>
      <c r="V410" s="350"/>
      <c r="X410" s="350"/>
      <c r="Y410" s="350"/>
      <c r="Z410" s="350"/>
      <c r="AA410" s="350"/>
      <c r="AB410" s="350"/>
      <c r="AC410" s="350"/>
      <c r="AD410" s="350"/>
      <c r="AE410" s="350"/>
      <c r="AF410" s="350"/>
      <c r="AG410" s="350"/>
      <c r="AH410" s="350"/>
      <c r="AI410" s="350"/>
    </row>
    <row r="411" spans="2:35">
      <c r="T411" s="350"/>
      <c r="U411" s="350"/>
      <c r="V411" s="350"/>
      <c r="X411" s="350"/>
      <c r="Y411" s="350"/>
      <c r="Z411" s="350"/>
      <c r="AA411" s="350"/>
      <c r="AB411" s="350"/>
      <c r="AC411" s="350"/>
      <c r="AD411" s="350"/>
      <c r="AE411" s="350"/>
      <c r="AF411" s="350"/>
      <c r="AG411" s="350"/>
      <c r="AH411" s="350"/>
      <c r="AI411" s="350"/>
    </row>
    <row r="412" spans="2:35">
      <c r="T412" s="350"/>
      <c r="U412" s="350"/>
      <c r="V412" s="350"/>
      <c r="X412" s="350"/>
      <c r="Y412" s="350"/>
      <c r="Z412" s="350"/>
      <c r="AA412" s="350"/>
      <c r="AB412" s="350"/>
      <c r="AC412" s="350"/>
      <c r="AD412" s="350"/>
      <c r="AE412" s="350"/>
      <c r="AF412" s="350"/>
      <c r="AG412" s="350"/>
      <c r="AH412" s="350"/>
      <c r="AI412" s="350"/>
    </row>
    <row r="413" spans="2:35">
      <c r="L413" s="358"/>
      <c r="T413" s="350"/>
      <c r="U413" s="350"/>
      <c r="V413" s="350"/>
      <c r="X413" s="350"/>
      <c r="Y413" s="350"/>
      <c r="Z413" s="350"/>
      <c r="AA413" s="350"/>
      <c r="AB413" s="350"/>
      <c r="AC413" s="350"/>
      <c r="AD413" s="350"/>
      <c r="AE413" s="350"/>
      <c r="AF413" s="350"/>
      <c r="AG413" s="350"/>
      <c r="AH413" s="350"/>
      <c r="AI413" s="350"/>
    </row>
    <row r="414" spans="2:35">
      <c r="L414" s="358"/>
      <c r="T414" s="350"/>
      <c r="U414" s="350"/>
      <c r="V414" s="350"/>
      <c r="X414" s="350"/>
      <c r="Y414" s="350"/>
      <c r="Z414" s="350"/>
      <c r="AA414" s="350"/>
      <c r="AB414" s="350"/>
      <c r="AC414" s="350"/>
      <c r="AD414" s="350"/>
      <c r="AE414" s="350"/>
      <c r="AF414" s="350"/>
      <c r="AG414" s="350"/>
      <c r="AH414" s="350"/>
      <c r="AI414" s="350"/>
    </row>
    <row r="415" spans="2:35">
      <c r="L415" s="358"/>
      <c r="T415" s="350"/>
      <c r="U415" s="350"/>
      <c r="V415" s="350"/>
      <c r="X415" s="350"/>
      <c r="Y415" s="350"/>
      <c r="Z415" s="350"/>
      <c r="AA415" s="350"/>
      <c r="AB415" s="350"/>
      <c r="AC415" s="350"/>
      <c r="AD415" s="350"/>
      <c r="AE415" s="350"/>
      <c r="AF415" s="350"/>
      <c r="AG415" s="350"/>
      <c r="AH415" s="350"/>
      <c r="AI415" s="350"/>
    </row>
    <row r="416" spans="2:35">
      <c r="L416" s="358"/>
      <c r="T416" s="350"/>
      <c r="U416" s="350"/>
      <c r="V416" s="350"/>
      <c r="X416" s="350"/>
      <c r="Y416" s="350"/>
      <c r="Z416" s="350"/>
      <c r="AA416" s="350"/>
      <c r="AB416" s="350"/>
      <c r="AC416" s="350"/>
      <c r="AD416" s="350"/>
      <c r="AE416" s="350"/>
      <c r="AF416" s="350"/>
      <c r="AG416" s="350"/>
      <c r="AH416" s="350"/>
      <c r="AI416" s="350"/>
    </row>
    <row r="417" spans="12:35">
      <c r="L417" s="358"/>
      <c r="T417" s="350"/>
      <c r="U417" s="350"/>
      <c r="V417" s="350"/>
      <c r="X417" s="350"/>
      <c r="Y417" s="350"/>
      <c r="Z417" s="350"/>
      <c r="AA417" s="350"/>
      <c r="AB417" s="350"/>
      <c r="AC417" s="350"/>
      <c r="AD417" s="350"/>
      <c r="AE417" s="350"/>
      <c r="AF417" s="350"/>
      <c r="AG417" s="350"/>
      <c r="AH417" s="350"/>
      <c r="AI417" s="350"/>
    </row>
    <row r="418" spans="12:35">
      <c r="L418" s="358"/>
      <c r="T418" s="350"/>
      <c r="U418" s="350"/>
      <c r="V418" s="350"/>
      <c r="X418" s="350"/>
      <c r="Y418" s="350"/>
      <c r="Z418" s="350"/>
      <c r="AA418" s="350"/>
      <c r="AB418" s="350"/>
      <c r="AC418" s="350"/>
      <c r="AD418" s="350"/>
      <c r="AE418" s="350"/>
      <c r="AF418" s="350"/>
      <c r="AG418" s="350"/>
      <c r="AH418" s="350"/>
      <c r="AI418" s="350"/>
    </row>
    <row r="419" spans="12:35">
      <c r="L419" s="358"/>
      <c r="T419" s="350"/>
      <c r="U419" s="350"/>
      <c r="V419" s="350"/>
      <c r="X419" s="350"/>
      <c r="Y419" s="350"/>
      <c r="Z419" s="350"/>
      <c r="AA419" s="350"/>
      <c r="AB419" s="350"/>
      <c r="AC419" s="350"/>
      <c r="AD419" s="350"/>
      <c r="AE419" s="350"/>
      <c r="AF419" s="350"/>
      <c r="AG419" s="350"/>
      <c r="AH419" s="350"/>
      <c r="AI419" s="350"/>
    </row>
    <row r="420" spans="12:35">
      <c r="L420" s="358"/>
      <c r="T420" s="350"/>
      <c r="U420" s="350"/>
      <c r="V420" s="350"/>
      <c r="X420" s="350"/>
      <c r="Y420" s="350"/>
      <c r="Z420" s="350"/>
      <c r="AA420" s="350"/>
      <c r="AB420" s="350"/>
      <c r="AC420" s="350"/>
      <c r="AD420" s="350"/>
      <c r="AE420" s="350"/>
      <c r="AF420" s="350"/>
      <c r="AG420" s="350"/>
      <c r="AH420" s="350"/>
      <c r="AI420" s="350"/>
    </row>
    <row r="421" spans="12:35">
      <c r="L421" s="358"/>
      <c r="T421" s="350"/>
      <c r="U421" s="350"/>
      <c r="V421" s="350"/>
      <c r="X421" s="350"/>
      <c r="Y421" s="350"/>
      <c r="Z421" s="350"/>
      <c r="AA421" s="350"/>
      <c r="AB421" s="350"/>
      <c r="AC421" s="350"/>
      <c r="AD421" s="350"/>
      <c r="AE421" s="350"/>
      <c r="AF421" s="350"/>
      <c r="AG421" s="350"/>
      <c r="AH421" s="350"/>
      <c r="AI421" s="350"/>
    </row>
    <row r="422" spans="12:35">
      <c r="L422" s="358"/>
      <c r="T422" s="350"/>
      <c r="U422" s="350"/>
      <c r="V422" s="350"/>
      <c r="X422" s="350"/>
      <c r="Y422" s="350"/>
      <c r="Z422" s="350"/>
      <c r="AA422" s="350"/>
      <c r="AB422" s="350"/>
      <c r="AC422" s="350"/>
      <c r="AD422" s="350"/>
      <c r="AE422" s="350"/>
      <c r="AF422" s="350"/>
      <c r="AG422" s="350"/>
      <c r="AH422" s="350"/>
      <c r="AI422" s="350"/>
    </row>
    <row r="423" spans="12:35">
      <c r="L423" s="358"/>
      <c r="M423" s="358"/>
      <c r="N423" s="358"/>
      <c r="O423" s="358"/>
      <c r="P423" s="358"/>
      <c r="T423" s="350"/>
      <c r="U423" s="350"/>
      <c r="V423" s="350"/>
      <c r="X423" s="350"/>
      <c r="Y423" s="350"/>
      <c r="Z423" s="350"/>
      <c r="AA423" s="350"/>
      <c r="AB423" s="350"/>
      <c r="AC423" s="350"/>
      <c r="AD423" s="350"/>
      <c r="AE423" s="350"/>
      <c r="AF423" s="350"/>
      <c r="AG423" s="350"/>
      <c r="AH423" s="350"/>
      <c r="AI423" s="350"/>
    </row>
    <row r="424" spans="12:35">
      <c r="L424" s="358"/>
      <c r="M424" s="358"/>
      <c r="N424" s="358"/>
      <c r="O424" s="358"/>
      <c r="P424" s="358"/>
      <c r="T424" s="350"/>
      <c r="U424" s="350"/>
      <c r="V424" s="350"/>
      <c r="X424" s="350"/>
      <c r="Y424" s="350"/>
      <c r="Z424" s="350"/>
      <c r="AA424" s="350"/>
      <c r="AB424" s="350"/>
      <c r="AC424" s="350"/>
      <c r="AD424" s="350"/>
      <c r="AE424" s="350"/>
      <c r="AF424" s="350"/>
      <c r="AG424" s="350"/>
      <c r="AH424" s="350"/>
      <c r="AI424" s="350"/>
    </row>
    <row r="425" spans="12:35">
      <c r="L425" s="358"/>
      <c r="T425" s="350"/>
      <c r="U425" s="350"/>
      <c r="V425" s="350"/>
      <c r="X425" s="350"/>
      <c r="Y425" s="350"/>
      <c r="Z425" s="350"/>
      <c r="AA425" s="350"/>
      <c r="AB425" s="350"/>
      <c r="AC425" s="350"/>
      <c r="AD425" s="350"/>
      <c r="AE425" s="350"/>
      <c r="AF425" s="350"/>
      <c r="AG425" s="350"/>
      <c r="AH425" s="350"/>
      <c r="AI425" s="350"/>
    </row>
    <row r="426" spans="12:35">
      <c r="L426" s="358"/>
      <c r="T426" s="350"/>
      <c r="U426" s="350"/>
      <c r="V426" s="350"/>
      <c r="X426" s="350"/>
      <c r="Y426" s="350"/>
      <c r="Z426" s="350"/>
      <c r="AA426" s="350"/>
      <c r="AB426" s="350"/>
      <c r="AC426" s="350"/>
      <c r="AD426" s="350"/>
      <c r="AE426" s="350"/>
      <c r="AF426" s="350"/>
      <c r="AG426" s="350"/>
      <c r="AH426" s="350"/>
      <c r="AI426" s="350"/>
    </row>
    <row r="427" spans="12:35">
      <c r="L427" s="358"/>
      <c r="T427" s="350"/>
      <c r="U427" s="350"/>
      <c r="V427" s="350"/>
      <c r="X427" s="350"/>
      <c r="Y427" s="350"/>
      <c r="Z427" s="350"/>
      <c r="AA427" s="350"/>
      <c r="AB427" s="350"/>
      <c r="AC427" s="350"/>
      <c r="AD427" s="350"/>
      <c r="AE427" s="350"/>
      <c r="AF427" s="350"/>
      <c r="AG427" s="350"/>
      <c r="AH427" s="350"/>
      <c r="AI427" s="350"/>
    </row>
    <row r="428" spans="12:35">
      <c r="L428" s="358"/>
      <c r="T428" s="350"/>
      <c r="U428" s="350"/>
      <c r="V428" s="350"/>
      <c r="X428" s="350"/>
      <c r="Y428" s="350"/>
      <c r="Z428" s="350"/>
      <c r="AA428" s="350"/>
      <c r="AB428" s="350"/>
      <c r="AC428" s="350"/>
      <c r="AD428" s="350"/>
      <c r="AE428" s="350"/>
      <c r="AF428" s="350"/>
      <c r="AG428" s="350"/>
      <c r="AH428" s="350"/>
      <c r="AI428" s="350"/>
    </row>
    <row r="429" spans="12:35">
      <c r="L429" s="358"/>
      <c r="T429" s="350"/>
      <c r="U429" s="350"/>
      <c r="V429" s="350"/>
      <c r="X429" s="350"/>
      <c r="Y429" s="350"/>
      <c r="Z429" s="350"/>
      <c r="AA429" s="350"/>
      <c r="AB429" s="350"/>
      <c r="AC429" s="350"/>
      <c r="AD429" s="350"/>
      <c r="AE429" s="350"/>
      <c r="AF429" s="350"/>
      <c r="AG429" s="350"/>
      <c r="AH429" s="350"/>
      <c r="AI429" s="350"/>
    </row>
    <row r="430" spans="12:35">
      <c r="L430" s="358"/>
      <c r="T430" s="350"/>
      <c r="U430" s="350"/>
      <c r="V430" s="350"/>
      <c r="X430" s="350"/>
      <c r="Y430" s="350"/>
      <c r="Z430" s="350"/>
      <c r="AA430" s="350"/>
      <c r="AB430" s="350"/>
      <c r="AC430" s="350"/>
      <c r="AD430" s="350"/>
      <c r="AE430" s="350"/>
      <c r="AF430" s="350"/>
      <c r="AG430" s="350"/>
      <c r="AH430" s="350"/>
      <c r="AI430" s="350"/>
    </row>
    <row r="431" spans="12:35">
      <c r="L431" s="358"/>
      <c r="T431" s="350"/>
      <c r="U431" s="350"/>
      <c r="V431" s="350"/>
      <c r="X431" s="350"/>
      <c r="Y431" s="350"/>
      <c r="Z431" s="350"/>
      <c r="AA431" s="350"/>
      <c r="AB431" s="350"/>
      <c r="AC431" s="350"/>
      <c r="AD431" s="350"/>
      <c r="AE431" s="350"/>
      <c r="AF431" s="350"/>
      <c r="AG431" s="350"/>
      <c r="AH431" s="350"/>
      <c r="AI431" s="350"/>
    </row>
    <row r="432" spans="12:35">
      <c r="L432" s="358"/>
      <c r="T432" s="350"/>
      <c r="U432" s="350"/>
      <c r="V432" s="350"/>
      <c r="X432" s="350"/>
      <c r="Y432" s="350"/>
      <c r="Z432" s="350"/>
      <c r="AA432" s="350"/>
      <c r="AB432" s="350"/>
      <c r="AC432" s="350"/>
      <c r="AD432" s="350"/>
      <c r="AE432" s="350"/>
      <c r="AF432" s="350"/>
      <c r="AG432" s="350"/>
      <c r="AH432" s="350"/>
      <c r="AI432" s="350"/>
    </row>
    <row r="433" spans="12:35">
      <c r="L433" s="358"/>
      <c r="T433" s="350"/>
      <c r="U433" s="350"/>
      <c r="V433" s="350"/>
      <c r="X433" s="350"/>
      <c r="Y433" s="350"/>
      <c r="Z433" s="350"/>
      <c r="AA433" s="350"/>
      <c r="AB433" s="350"/>
      <c r="AC433" s="350"/>
      <c r="AD433" s="350"/>
      <c r="AE433" s="350"/>
      <c r="AF433" s="350"/>
      <c r="AG433" s="350"/>
      <c r="AH433" s="350"/>
      <c r="AI433" s="350"/>
    </row>
    <row r="434" spans="12:35">
      <c r="L434" s="358"/>
      <c r="T434" s="350"/>
      <c r="U434" s="350"/>
      <c r="V434" s="350"/>
      <c r="X434" s="350"/>
      <c r="Y434" s="350"/>
      <c r="Z434" s="350"/>
      <c r="AA434" s="350"/>
      <c r="AB434" s="350"/>
      <c r="AC434" s="350"/>
      <c r="AD434" s="350"/>
      <c r="AE434" s="350"/>
      <c r="AF434" s="350"/>
      <c r="AG434" s="350"/>
      <c r="AH434" s="350"/>
      <c r="AI434" s="350"/>
    </row>
    <row r="435" spans="12:35">
      <c r="L435" s="358"/>
      <c r="T435" s="350"/>
      <c r="U435" s="350"/>
      <c r="V435" s="350"/>
      <c r="X435" s="350"/>
      <c r="Y435" s="350"/>
      <c r="Z435" s="350"/>
      <c r="AA435" s="350"/>
      <c r="AB435" s="350"/>
      <c r="AC435" s="350"/>
      <c r="AD435" s="350"/>
      <c r="AE435" s="350"/>
      <c r="AF435" s="350"/>
      <c r="AG435" s="350"/>
      <c r="AH435" s="350"/>
      <c r="AI435" s="350"/>
    </row>
    <row r="436" spans="12:35">
      <c r="L436" s="358"/>
      <c r="T436" s="350"/>
      <c r="U436" s="350"/>
      <c r="V436" s="350"/>
      <c r="X436" s="350"/>
      <c r="Y436" s="350"/>
      <c r="Z436" s="350"/>
      <c r="AA436" s="350"/>
      <c r="AB436" s="350"/>
      <c r="AC436" s="350"/>
      <c r="AD436" s="350"/>
      <c r="AE436" s="350"/>
      <c r="AF436" s="350"/>
      <c r="AG436" s="350"/>
      <c r="AH436" s="350"/>
      <c r="AI436" s="350"/>
    </row>
    <row r="437" spans="12:35">
      <c r="L437" s="358"/>
      <c r="T437" s="350"/>
      <c r="U437" s="350"/>
      <c r="V437" s="350"/>
      <c r="X437" s="350"/>
      <c r="Y437" s="350"/>
      <c r="Z437" s="350"/>
      <c r="AA437" s="350"/>
      <c r="AB437" s="350"/>
      <c r="AC437" s="350"/>
      <c r="AD437" s="350"/>
      <c r="AE437" s="350"/>
      <c r="AF437" s="350"/>
      <c r="AG437" s="350"/>
      <c r="AH437" s="350"/>
      <c r="AI437" s="350"/>
    </row>
    <row r="438" spans="12:35">
      <c r="L438" s="358"/>
      <c r="T438" s="350"/>
      <c r="U438" s="350"/>
      <c r="V438" s="350"/>
      <c r="X438" s="350"/>
      <c r="Y438" s="350"/>
      <c r="Z438" s="350"/>
      <c r="AA438" s="350"/>
      <c r="AB438" s="350"/>
      <c r="AC438" s="350"/>
      <c r="AD438" s="350"/>
      <c r="AE438" s="350"/>
      <c r="AF438" s="350"/>
      <c r="AG438" s="350"/>
      <c r="AH438" s="350"/>
      <c r="AI438" s="350"/>
    </row>
    <row r="439" spans="12:35">
      <c r="L439" s="358"/>
      <c r="T439" s="350"/>
      <c r="U439" s="350"/>
      <c r="V439" s="350"/>
      <c r="X439" s="350"/>
      <c r="Y439" s="350"/>
      <c r="Z439" s="350"/>
      <c r="AA439" s="350"/>
      <c r="AB439" s="350"/>
      <c r="AC439" s="350"/>
      <c r="AD439" s="350"/>
      <c r="AE439" s="350"/>
      <c r="AF439" s="350"/>
      <c r="AG439" s="350"/>
      <c r="AH439" s="350"/>
      <c r="AI439" s="350"/>
    </row>
    <row r="440" spans="12:35">
      <c r="L440" s="358"/>
      <c r="T440" s="350"/>
      <c r="U440" s="350"/>
      <c r="V440" s="350"/>
      <c r="X440" s="350"/>
      <c r="Y440" s="350"/>
      <c r="Z440" s="350"/>
      <c r="AA440" s="350"/>
      <c r="AB440" s="350"/>
      <c r="AC440" s="350"/>
      <c r="AD440" s="350"/>
      <c r="AE440" s="350"/>
      <c r="AF440" s="350"/>
      <c r="AG440" s="350"/>
      <c r="AH440" s="350"/>
      <c r="AI440" s="350"/>
    </row>
    <row r="441" spans="12:35">
      <c r="L441" s="358"/>
      <c r="T441" s="350"/>
      <c r="U441" s="350"/>
      <c r="V441" s="350"/>
      <c r="X441" s="350"/>
      <c r="Y441" s="350"/>
      <c r="Z441" s="350"/>
      <c r="AA441" s="350"/>
      <c r="AB441" s="350"/>
      <c r="AC441" s="350"/>
      <c r="AD441" s="350"/>
      <c r="AE441" s="350"/>
      <c r="AF441" s="350"/>
      <c r="AG441" s="350"/>
      <c r="AH441" s="350"/>
      <c r="AI441" s="350"/>
    </row>
    <row r="442" spans="12:35">
      <c r="L442" s="358"/>
      <c r="T442" s="350"/>
      <c r="U442" s="350"/>
      <c r="V442" s="350"/>
      <c r="X442" s="350"/>
      <c r="Y442" s="350"/>
      <c r="Z442" s="350"/>
      <c r="AA442" s="350"/>
      <c r="AB442" s="350"/>
      <c r="AC442" s="350"/>
      <c r="AD442" s="350"/>
      <c r="AE442" s="350"/>
      <c r="AF442" s="350"/>
      <c r="AG442" s="350"/>
      <c r="AH442" s="350"/>
      <c r="AI442" s="350"/>
    </row>
    <row r="443" spans="12:35">
      <c r="L443" s="358"/>
      <c r="T443" s="350"/>
      <c r="U443" s="350"/>
      <c r="V443" s="350"/>
      <c r="X443" s="350"/>
      <c r="Y443" s="350"/>
      <c r="Z443" s="350"/>
      <c r="AA443" s="350"/>
      <c r="AB443" s="350"/>
      <c r="AC443" s="350"/>
      <c r="AD443" s="350"/>
      <c r="AE443" s="350"/>
      <c r="AF443" s="350"/>
      <c r="AG443" s="350"/>
      <c r="AH443" s="350"/>
      <c r="AI443" s="350"/>
    </row>
    <row r="444" spans="12:35">
      <c r="L444" s="358"/>
      <c r="T444" s="350"/>
      <c r="U444" s="350"/>
      <c r="V444" s="350"/>
      <c r="X444" s="350"/>
      <c r="Y444" s="350"/>
      <c r="Z444" s="350"/>
      <c r="AA444" s="350"/>
      <c r="AB444" s="350"/>
      <c r="AC444" s="350"/>
      <c r="AD444" s="350"/>
      <c r="AE444" s="350"/>
      <c r="AF444" s="350"/>
      <c r="AG444" s="350"/>
      <c r="AH444" s="350"/>
      <c r="AI444" s="350"/>
    </row>
    <row r="445" spans="12:35">
      <c r="L445" s="358"/>
      <c r="T445" s="350"/>
      <c r="U445" s="350"/>
      <c r="V445" s="350"/>
      <c r="X445" s="350"/>
      <c r="Y445" s="350"/>
      <c r="Z445" s="350"/>
      <c r="AA445" s="350"/>
      <c r="AB445" s="350"/>
      <c r="AC445" s="350"/>
      <c r="AD445" s="350"/>
      <c r="AE445" s="350"/>
      <c r="AF445" s="350"/>
      <c r="AG445" s="350"/>
      <c r="AH445" s="350"/>
      <c r="AI445" s="350"/>
    </row>
    <row r="446" spans="12:35">
      <c r="L446" s="358"/>
      <c r="T446" s="350"/>
      <c r="U446" s="350"/>
      <c r="V446" s="350"/>
      <c r="X446" s="350"/>
      <c r="Y446" s="350"/>
      <c r="Z446" s="350"/>
      <c r="AA446" s="350"/>
      <c r="AB446" s="350"/>
      <c r="AC446" s="350"/>
      <c r="AD446" s="350"/>
      <c r="AE446" s="350"/>
      <c r="AF446" s="350"/>
      <c r="AG446" s="350"/>
      <c r="AH446" s="350"/>
      <c r="AI446" s="350"/>
    </row>
    <row r="447" spans="12:35">
      <c r="L447" s="358"/>
      <c r="T447" s="350"/>
      <c r="U447" s="350"/>
      <c r="V447" s="350"/>
      <c r="X447" s="350"/>
      <c r="Y447" s="350"/>
      <c r="Z447" s="350"/>
      <c r="AA447" s="350"/>
      <c r="AB447" s="350"/>
      <c r="AC447" s="350"/>
      <c r="AD447" s="350"/>
      <c r="AE447" s="350"/>
      <c r="AF447" s="350"/>
      <c r="AG447" s="350"/>
      <c r="AH447" s="350"/>
      <c r="AI447" s="350"/>
    </row>
    <row r="448" spans="12:35">
      <c r="L448" s="358"/>
      <c r="T448" s="350"/>
      <c r="U448" s="350"/>
      <c r="V448" s="350"/>
      <c r="X448" s="350"/>
      <c r="Y448" s="350"/>
      <c r="Z448" s="350"/>
      <c r="AA448" s="350"/>
      <c r="AB448" s="350"/>
      <c r="AC448" s="350"/>
      <c r="AD448" s="350"/>
      <c r="AE448" s="350"/>
      <c r="AF448" s="350"/>
      <c r="AG448" s="350"/>
      <c r="AH448" s="350"/>
      <c r="AI448" s="350"/>
    </row>
    <row r="449" spans="12:35">
      <c r="L449" s="358"/>
      <c r="T449" s="350"/>
      <c r="U449" s="350"/>
      <c r="V449" s="350"/>
      <c r="X449" s="350"/>
      <c r="Y449" s="350"/>
      <c r="Z449" s="350"/>
      <c r="AA449" s="350"/>
      <c r="AB449" s="350"/>
      <c r="AC449" s="350"/>
      <c r="AD449" s="350"/>
      <c r="AE449" s="350"/>
      <c r="AF449" s="350"/>
      <c r="AG449" s="350"/>
      <c r="AH449" s="350"/>
      <c r="AI449" s="350"/>
    </row>
    <row r="450" spans="12:35">
      <c r="L450" s="358"/>
      <c r="T450" s="350"/>
      <c r="U450" s="350"/>
      <c r="V450" s="350"/>
      <c r="X450" s="350"/>
      <c r="Y450" s="350"/>
      <c r="Z450" s="350"/>
      <c r="AA450" s="350"/>
      <c r="AB450" s="350"/>
      <c r="AC450" s="350"/>
      <c r="AD450" s="350"/>
      <c r="AE450" s="350"/>
      <c r="AF450" s="350"/>
      <c r="AG450" s="350"/>
      <c r="AH450" s="350"/>
      <c r="AI450" s="350"/>
    </row>
    <row r="451" spans="12:35">
      <c r="L451" s="358"/>
      <c r="X451" s="350"/>
      <c r="Y451" s="350"/>
      <c r="Z451" s="350"/>
      <c r="AA451" s="350"/>
      <c r="AB451" s="350"/>
      <c r="AC451" s="350"/>
      <c r="AD451" s="350"/>
      <c r="AE451" s="350"/>
      <c r="AF451" s="350"/>
      <c r="AG451" s="350"/>
      <c r="AH451" s="350"/>
      <c r="AI451" s="350"/>
    </row>
    <row r="452" spans="12:35">
      <c r="L452" s="358"/>
      <c r="X452" s="350"/>
      <c r="Y452" s="350"/>
      <c r="Z452" s="350"/>
      <c r="AA452" s="350"/>
      <c r="AB452" s="350"/>
      <c r="AC452" s="350"/>
      <c r="AD452" s="350"/>
      <c r="AE452" s="350"/>
      <c r="AF452" s="350"/>
      <c r="AG452" s="350"/>
      <c r="AH452" s="350"/>
      <c r="AI452" s="350"/>
    </row>
    <row r="453" spans="12:35">
      <c r="L453" s="358"/>
      <c r="X453" s="350"/>
      <c r="Y453" s="350"/>
      <c r="Z453" s="350"/>
      <c r="AA453" s="350"/>
      <c r="AB453" s="350"/>
      <c r="AC453" s="350"/>
      <c r="AD453" s="350"/>
      <c r="AE453" s="350"/>
      <c r="AF453" s="350"/>
      <c r="AG453" s="350"/>
      <c r="AH453" s="350"/>
      <c r="AI453" s="350"/>
    </row>
    <row r="454" spans="12:35">
      <c r="L454" s="358"/>
      <c r="X454" s="350"/>
      <c r="Y454" s="350"/>
      <c r="Z454" s="350"/>
      <c r="AA454" s="350"/>
      <c r="AB454" s="350"/>
      <c r="AC454" s="350"/>
      <c r="AD454" s="350"/>
      <c r="AE454" s="350"/>
      <c r="AF454" s="350"/>
      <c r="AG454" s="350"/>
      <c r="AH454" s="350"/>
      <c r="AI454" s="350"/>
    </row>
    <row r="455" spans="12:35">
      <c r="L455" s="358"/>
      <c r="X455" s="350"/>
      <c r="Y455" s="350"/>
      <c r="Z455" s="350"/>
      <c r="AA455" s="350"/>
      <c r="AB455" s="350"/>
      <c r="AC455" s="350"/>
      <c r="AD455" s="350"/>
      <c r="AE455" s="350"/>
      <c r="AF455" s="350"/>
      <c r="AG455" s="350"/>
      <c r="AH455" s="350"/>
      <c r="AI455" s="350"/>
    </row>
    <row r="456" spans="12:35">
      <c r="L456" s="358"/>
      <c r="X456" s="350"/>
      <c r="Y456" s="350"/>
      <c r="Z456" s="350"/>
      <c r="AA456" s="350"/>
      <c r="AB456" s="350"/>
      <c r="AC456" s="350"/>
      <c r="AD456" s="350"/>
      <c r="AE456" s="350"/>
      <c r="AF456" s="350"/>
      <c r="AG456" s="350"/>
      <c r="AH456" s="350"/>
      <c r="AI456" s="350"/>
    </row>
    <row r="457" spans="12:35">
      <c r="L457" s="358"/>
      <c r="X457" s="350"/>
      <c r="Y457" s="350"/>
      <c r="Z457" s="350"/>
      <c r="AA457" s="350"/>
      <c r="AB457" s="350"/>
      <c r="AC457" s="350"/>
      <c r="AD457" s="350"/>
      <c r="AE457" s="350"/>
      <c r="AF457" s="350"/>
      <c r="AG457" s="350"/>
      <c r="AH457" s="350"/>
      <c r="AI457" s="350"/>
    </row>
    <row r="458" spans="12:35">
      <c r="L458" s="358"/>
      <c r="X458" s="350"/>
      <c r="Y458" s="350"/>
      <c r="Z458" s="350"/>
      <c r="AA458" s="350"/>
      <c r="AB458" s="350"/>
      <c r="AC458" s="350"/>
      <c r="AD458" s="350"/>
      <c r="AE458" s="350"/>
      <c r="AF458" s="350"/>
      <c r="AG458" s="350"/>
      <c r="AH458" s="350"/>
      <c r="AI458" s="350"/>
    </row>
    <row r="459" spans="12:35">
      <c r="L459" s="358"/>
      <c r="X459" s="350"/>
      <c r="Y459" s="350"/>
      <c r="Z459" s="350"/>
      <c r="AA459" s="350"/>
      <c r="AB459" s="350"/>
      <c r="AC459" s="350"/>
      <c r="AD459" s="350"/>
      <c r="AE459" s="350"/>
      <c r="AF459" s="350"/>
      <c r="AG459" s="350"/>
      <c r="AH459" s="350"/>
      <c r="AI459" s="350"/>
    </row>
    <row r="460" spans="12:35">
      <c r="L460" s="358"/>
      <c r="X460" s="350"/>
      <c r="Y460" s="350"/>
      <c r="Z460" s="350"/>
      <c r="AA460" s="350"/>
      <c r="AB460" s="350"/>
      <c r="AC460" s="350"/>
      <c r="AD460" s="350"/>
      <c r="AE460" s="350"/>
      <c r="AF460" s="350"/>
      <c r="AG460" s="350"/>
      <c r="AH460" s="350"/>
      <c r="AI460" s="350"/>
    </row>
    <row r="461" spans="12:35">
      <c r="L461" s="358"/>
      <c r="X461" s="350"/>
      <c r="Y461" s="350"/>
      <c r="Z461" s="350"/>
      <c r="AA461" s="350"/>
      <c r="AB461" s="350"/>
      <c r="AC461" s="350"/>
      <c r="AD461" s="350"/>
      <c r="AE461" s="350"/>
      <c r="AF461" s="350"/>
      <c r="AG461" s="350"/>
      <c r="AH461" s="350"/>
      <c r="AI461" s="350"/>
    </row>
    <row r="462" spans="12:35">
      <c r="L462" s="358"/>
      <c r="X462" s="350"/>
      <c r="Y462" s="350"/>
      <c r="Z462" s="350"/>
      <c r="AA462" s="350"/>
      <c r="AB462" s="350"/>
      <c r="AC462" s="350"/>
      <c r="AD462" s="350"/>
      <c r="AE462" s="350"/>
      <c r="AF462" s="350"/>
      <c r="AG462" s="350"/>
      <c r="AH462" s="350"/>
      <c r="AI462" s="350"/>
    </row>
    <row r="463" spans="12:35">
      <c r="L463" s="358"/>
      <c r="X463" s="350"/>
      <c r="Y463" s="350"/>
      <c r="Z463" s="350"/>
      <c r="AA463" s="350"/>
      <c r="AB463" s="350"/>
      <c r="AC463" s="350"/>
      <c r="AD463" s="350"/>
      <c r="AE463" s="350"/>
      <c r="AF463" s="350"/>
      <c r="AG463" s="350"/>
      <c r="AH463" s="350"/>
      <c r="AI463" s="350"/>
    </row>
    <row r="464" spans="12:35">
      <c r="L464" s="358"/>
      <c r="X464" s="350"/>
      <c r="Y464" s="350"/>
      <c r="Z464" s="350"/>
      <c r="AA464" s="350"/>
      <c r="AB464" s="350"/>
      <c r="AC464" s="350"/>
      <c r="AD464" s="350"/>
      <c r="AE464" s="350"/>
      <c r="AF464" s="350"/>
      <c r="AG464" s="350"/>
      <c r="AH464" s="350"/>
      <c r="AI464" s="350"/>
    </row>
    <row r="465" spans="12:35">
      <c r="L465" s="358"/>
      <c r="X465" s="350"/>
      <c r="Y465" s="350"/>
      <c r="Z465" s="350"/>
      <c r="AA465" s="350"/>
      <c r="AB465" s="350"/>
      <c r="AC465" s="350"/>
      <c r="AD465" s="350"/>
      <c r="AE465" s="350"/>
      <c r="AF465" s="350"/>
      <c r="AG465" s="350"/>
      <c r="AH465" s="350"/>
      <c r="AI465" s="350"/>
    </row>
    <row r="466" spans="12:35">
      <c r="L466" s="358"/>
      <c r="X466" s="350"/>
      <c r="Y466" s="350"/>
      <c r="Z466" s="350"/>
      <c r="AA466" s="350"/>
      <c r="AB466" s="350"/>
      <c r="AC466" s="350"/>
      <c r="AD466" s="350"/>
      <c r="AE466" s="350"/>
      <c r="AF466" s="350"/>
      <c r="AG466" s="350"/>
      <c r="AH466" s="350"/>
      <c r="AI466" s="350"/>
    </row>
    <row r="467" spans="12:35">
      <c r="L467" s="358"/>
      <c r="X467" s="350"/>
      <c r="Y467" s="350"/>
      <c r="Z467" s="350"/>
      <c r="AA467" s="350"/>
      <c r="AB467" s="350"/>
      <c r="AC467" s="350"/>
      <c r="AD467" s="350"/>
      <c r="AE467" s="350"/>
      <c r="AF467" s="350"/>
      <c r="AG467" s="350"/>
      <c r="AH467" s="350"/>
      <c r="AI467" s="350"/>
    </row>
    <row r="468" spans="12:35">
      <c r="L468" s="358"/>
      <c r="X468" s="350"/>
      <c r="Y468" s="350"/>
      <c r="Z468" s="350"/>
      <c r="AA468" s="350"/>
      <c r="AB468" s="350"/>
      <c r="AC468" s="350"/>
      <c r="AD468" s="350"/>
      <c r="AE468" s="350"/>
      <c r="AF468" s="350"/>
      <c r="AG468" s="350"/>
      <c r="AH468" s="350"/>
      <c r="AI468" s="350"/>
    </row>
    <row r="469" spans="12:35">
      <c r="L469" s="358"/>
      <c r="X469" s="350"/>
      <c r="Y469" s="350"/>
      <c r="Z469" s="350"/>
      <c r="AA469" s="350"/>
      <c r="AB469" s="350"/>
      <c r="AC469" s="350"/>
      <c r="AD469" s="350"/>
      <c r="AE469" s="350"/>
      <c r="AF469" s="350"/>
      <c r="AG469" s="350"/>
      <c r="AH469" s="350"/>
      <c r="AI469" s="350"/>
    </row>
    <row r="470" spans="12:35">
      <c r="L470" s="358"/>
      <c r="X470" s="350"/>
      <c r="Y470" s="350"/>
      <c r="Z470" s="350"/>
      <c r="AA470" s="350"/>
      <c r="AB470" s="350"/>
      <c r="AC470" s="350"/>
      <c r="AD470" s="350"/>
      <c r="AE470" s="350"/>
      <c r="AF470" s="350"/>
      <c r="AG470" s="350"/>
      <c r="AH470" s="350"/>
      <c r="AI470" s="350"/>
    </row>
    <row r="471" spans="12:35">
      <c r="X471" s="350"/>
      <c r="Y471" s="350"/>
      <c r="Z471" s="350"/>
      <c r="AA471" s="350"/>
      <c r="AB471" s="350"/>
      <c r="AC471" s="350"/>
      <c r="AD471" s="350"/>
      <c r="AE471" s="350"/>
      <c r="AF471" s="350"/>
      <c r="AG471" s="350"/>
      <c r="AH471" s="350"/>
      <c r="AI471" s="350"/>
    </row>
    <row r="472" spans="12:35">
      <c r="X472" s="350"/>
      <c r="Y472" s="350"/>
      <c r="Z472" s="350"/>
      <c r="AA472" s="350"/>
      <c r="AB472" s="350"/>
      <c r="AC472" s="350"/>
      <c r="AD472" s="350"/>
      <c r="AE472" s="350"/>
      <c r="AF472" s="350"/>
      <c r="AG472" s="350"/>
      <c r="AH472" s="350"/>
      <c r="AI472" s="350"/>
    </row>
    <row r="473" spans="12:35">
      <c r="X473" s="350"/>
      <c r="Y473" s="350"/>
      <c r="Z473" s="350"/>
      <c r="AA473" s="350"/>
      <c r="AB473" s="350"/>
      <c r="AC473" s="350"/>
      <c r="AD473" s="350"/>
      <c r="AE473" s="350"/>
      <c r="AF473" s="350"/>
      <c r="AG473" s="350"/>
      <c r="AH473" s="350"/>
      <c r="AI473" s="350"/>
    </row>
    <row r="474" spans="12:35">
      <c r="X474" s="350"/>
      <c r="Y474" s="350"/>
      <c r="Z474" s="350"/>
      <c r="AA474" s="350"/>
      <c r="AB474" s="350"/>
      <c r="AC474" s="350"/>
      <c r="AD474" s="350"/>
      <c r="AE474" s="350"/>
      <c r="AF474" s="350"/>
      <c r="AG474" s="350"/>
      <c r="AH474" s="350"/>
      <c r="AI474" s="350"/>
    </row>
    <row r="475" spans="12:35">
      <c r="X475" s="350"/>
      <c r="Y475" s="350"/>
      <c r="Z475" s="350"/>
      <c r="AA475" s="350"/>
      <c r="AB475" s="350"/>
      <c r="AC475" s="350"/>
      <c r="AD475" s="350"/>
      <c r="AE475" s="350"/>
      <c r="AF475" s="350"/>
      <c r="AG475" s="350"/>
      <c r="AH475" s="350"/>
      <c r="AI475" s="350"/>
    </row>
    <row r="476" spans="12:35">
      <c r="X476" s="350"/>
      <c r="Y476" s="350"/>
      <c r="Z476" s="350"/>
      <c r="AA476" s="350"/>
      <c r="AB476" s="350"/>
      <c r="AC476" s="350"/>
      <c r="AD476" s="350"/>
      <c r="AE476" s="350"/>
      <c r="AF476" s="350"/>
      <c r="AG476" s="350"/>
      <c r="AH476" s="350"/>
      <c r="AI476" s="350"/>
    </row>
    <row r="477" spans="12:35">
      <c r="X477" s="350"/>
      <c r="Y477" s="350"/>
      <c r="Z477" s="350"/>
      <c r="AA477" s="350"/>
      <c r="AB477" s="350"/>
      <c r="AC477" s="350"/>
      <c r="AD477" s="350"/>
      <c r="AE477" s="350"/>
      <c r="AF477" s="350"/>
      <c r="AG477" s="350"/>
      <c r="AH477" s="350"/>
      <c r="AI477" s="350"/>
    </row>
    <row r="478" spans="12:35">
      <c r="X478" s="350"/>
      <c r="Y478" s="350"/>
      <c r="Z478" s="350"/>
      <c r="AA478" s="350"/>
      <c r="AB478" s="350"/>
      <c r="AC478" s="350"/>
      <c r="AD478" s="350"/>
      <c r="AE478" s="350"/>
      <c r="AF478" s="350"/>
      <c r="AG478" s="350"/>
      <c r="AH478" s="350"/>
      <c r="AI478" s="350"/>
    </row>
    <row r="479" spans="12:35">
      <c r="X479" s="350"/>
      <c r="Y479" s="350"/>
      <c r="Z479" s="350"/>
      <c r="AA479" s="350"/>
      <c r="AB479" s="350"/>
      <c r="AC479" s="350"/>
      <c r="AD479" s="350"/>
      <c r="AE479" s="350"/>
      <c r="AF479" s="350"/>
      <c r="AG479" s="350"/>
      <c r="AH479" s="350"/>
      <c r="AI479" s="350"/>
    </row>
    <row r="480" spans="12:35">
      <c r="X480" s="350"/>
      <c r="Y480" s="350"/>
      <c r="Z480" s="350"/>
      <c r="AA480" s="350"/>
      <c r="AB480" s="350"/>
      <c r="AC480" s="350"/>
      <c r="AD480" s="350"/>
      <c r="AE480" s="350"/>
      <c r="AF480" s="350"/>
      <c r="AG480" s="350"/>
      <c r="AH480" s="350"/>
      <c r="AI480" s="350"/>
    </row>
    <row r="481" spans="24:35">
      <c r="X481" s="350"/>
      <c r="Y481" s="350"/>
      <c r="Z481" s="350"/>
      <c r="AA481" s="350"/>
      <c r="AB481" s="350"/>
      <c r="AC481" s="350"/>
      <c r="AD481" s="350"/>
      <c r="AE481" s="350"/>
      <c r="AF481" s="350"/>
      <c r="AG481" s="350"/>
      <c r="AH481" s="350"/>
      <c r="AI481" s="350"/>
    </row>
    <row r="482" spans="24:35">
      <c r="X482" s="350"/>
      <c r="Y482" s="350"/>
      <c r="Z482" s="350"/>
      <c r="AA482" s="350"/>
      <c r="AB482" s="350"/>
      <c r="AC482" s="350"/>
      <c r="AD482" s="350"/>
      <c r="AE482" s="350"/>
      <c r="AF482" s="350"/>
      <c r="AG482" s="350"/>
      <c r="AH482" s="350"/>
      <c r="AI482" s="350"/>
    </row>
    <row r="483" spans="24:35">
      <c r="X483" s="350"/>
      <c r="Y483" s="350"/>
      <c r="Z483" s="350"/>
      <c r="AA483" s="350"/>
      <c r="AB483" s="350"/>
      <c r="AC483" s="350"/>
      <c r="AD483" s="350"/>
      <c r="AE483" s="350"/>
      <c r="AF483" s="350"/>
      <c r="AG483" s="350"/>
      <c r="AH483" s="350"/>
      <c r="AI483" s="350"/>
    </row>
    <row r="484" spans="24:35">
      <c r="X484" s="350"/>
      <c r="Y484" s="350"/>
      <c r="Z484" s="350"/>
      <c r="AA484" s="350"/>
      <c r="AB484" s="350"/>
      <c r="AC484" s="350"/>
      <c r="AD484" s="350"/>
      <c r="AE484" s="350"/>
      <c r="AF484" s="350"/>
      <c r="AG484" s="350"/>
      <c r="AH484" s="350"/>
      <c r="AI484" s="350"/>
    </row>
    <row r="485" spans="24:35">
      <c r="X485" s="350"/>
      <c r="Y485" s="350"/>
      <c r="Z485" s="350"/>
      <c r="AA485" s="350"/>
      <c r="AB485" s="350"/>
      <c r="AC485" s="350"/>
      <c r="AD485" s="350"/>
      <c r="AE485" s="350"/>
      <c r="AF485" s="350"/>
      <c r="AG485" s="350"/>
      <c r="AH485" s="350"/>
      <c r="AI485" s="350"/>
    </row>
    <row r="486" spans="24:35">
      <c r="X486" s="350"/>
      <c r="Y486" s="350"/>
      <c r="Z486" s="350"/>
      <c r="AA486" s="350"/>
      <c r="AB486" s="350"/>
      <c r="AC486" s="350"/>
      <c r="AD486" s="350"/>
      <c r="AE486" s="350"/>
      <c r="AF486" s="350"/>
      <c r="AG486" s="350"/>
      <c r="AH486" s="350"/>
      <c r="AI486" s="350"/>
    </row>
    <row r="487" spans="24:35">
      <c r="X487" s="350"/>
      <c r="Y487" s="350"/>
      <c r="Z487" s="350"/>
      <c r="AA487" s="350"/>
      <c r="AB487" s="350"/>
      <c r="AC487" s="350"/>
      <c r="AD487" s="350"/>
      <c r="AE487" s="350"/>
      <c r="AF487" s="350"/>
      <c r="AG487" s="350"/>
      <c r="AH487" s="350"/>
      <c r="AI487" s="350"/>
    </row>
    <row r="488" spans="24:35">
      <c r="X488" s="350"/>
      <c r="Y488" s="350"/>
      <c r="Z488" s="350"/>
      <c r="AA488" s="350"/>
      <c r="AB488" s="350"/>
      <c r="AC488" s="350"/>
      <c r="AD488" s="350"/>
      <c r="AE488" s="350"/>
      <c r="AF488" s="350"/>
      <c r="AG488" s="350"/>
      <c r="AH488" s="350"/>
      <c r="AI488" s="350"/>
    </row>
    <row r="489" spans="24:35">
      <c r="X489" s="350"/>
      <c r="Y489" s="350"/>
      <c r="Z489" s="350"/>
      <c r="AA489" s="350"/>
      <c r="AB489" s="350"/>
      <c r="AC489" s="350"/>
      <c r="AD489" s="350"/>
      <c r="AE489" s="350"/>
      <c r="AF489" s="350"/>
      <c r="AG489" s="350"/>
      <c r="AH489" s="350"/>
      <c r="AI489" s="350"/>
    </row>
    <row r="490" spans="24:35">
      <c r="X490" s="350"/>
      <c r="Y490" s="350"/>
      <c r="Z490" s="350"/>
      <c r="AA490" s="350"/>
      <c r="AB490" s="350"/>
      <c r="AC490" s="350"/>
      <c r="AD490" s="350"/>
      <c r="AE490" s="350"/>
      <c r="AF490" s="350"/>
      <c r="AG490" s="350"/>
      <c r="AH490" s="350"/>
      <c r="AI490" s="350"/>
    </row>
    <row r="491" spans="24:35">
      <c r="X491" s="350"/>
      <c r="Y491" s="350"/>
      <c r="Z491" s="350"/>
      <c r="AA491" s="350"/>
      <c r="AB491" s="350"/>
      <c r="AC491" s="350"/>
      <c r="AD491" s="350"/>
      <c r="AE491" s="350"/>
      <c r="AF491" s="350"/>
      <c r="AG491" s="350"/>
      <c r="AH491" s="350"/>
      <c r="AI491" s="350"/>
    </row>
    <row r="492" spans="24:35">
      <c r="X492" s="350"/>
      <c r="Y492" s="350"/>
      <c r="Z492" s="350"/>
      <c r="AA492" s="350"/>
      <c r="AB492" s="350"/>
      <c r="AC492" s="350"/>
      <c r="AD492" s="350"/>
      <c r="AE492" s="350"/>
      <c r="AF492" s="350"/>
      <c r="AG492" s="350"/>
      <c r="AH492" s="350"/>
      <c r="AI492" s="350"/>
    </row>
    <row r="493" spans="24:35">
      <c r="X493" s="350"/>
      <c r="Y493" s="350"/>
      <c r="Z493" s="350"/>
      <c r="AA493" s="350"/>
      <c r="AB493" s="350"/>
      <c r="AC493" s="350"/>
      <c r="AD493" s="350"/>
      <c r="AE493" s="350"/>
      <c r="AF493" s="350"/>
      <c r="AG493" s="350"/>
      <c r="AH493" s="350"/>
      <c r="AI493" s="350"/>
    </row>
    <row r="494" spans="24:35">
      <c r="X494" s="350"/>
      <c r="Y494" s="350"/>
      <c r="Z494" s="350"/>
      <c r="AA494" s="350"/>
      <c r="AB494" s="350"/>
      <c r="AC494" s="350"/>
      <c r="AD494" s="350"/>
      <c r="AE494" s="350"/>
      <c r="AF494" s="350"/>
      <c r="AG494" s="350"/>
      <c r="AH494" s="350"/>
      <c r="AI494" s="350"/>
    </row>
    <row r="495" spans="24:35">
      <c r="X495" s="350"/>
      <c r="Y495" s="350"/>
      <c r="Z495" s="350"/>
      <c r="AA495" s="350"/>
      <c r="AB495" s="350"/>
      <c r="AC495" s="350"/>
      <c r="AD495" s="350"/>
      <c r="AE495" s="350"/>
      <c r="AF495" s="350"/>
      <c r="AG495" s="350"/>
      <c r="AH495" s="350"/>
      <c r="AI495" s="350"/>
    </row>
    <row r="496" spans="24:35">
      <c r="X496" s="350"/>
      <c r="Y496" s="350"/>
      <c r="Z496" s="350"/>
      <c r="AA496" s="350"/>
      <c r="AB496" s="350"/>
      <c r="AC496" s="350"/>
      <c r="AD496" s="350"/>
      <c r="AE496" s="350"/>
      <c r="AF496" s="350"/>
      <c r="AG496" s="350"/>
      <c r="AH496" s="350"/>
      <c r="AI496" s="350"/>
    </row>
    <row r="497" spans="24:35">
      <c r="X497" s="350"/>
      <c r="Y497" s="350"/>
      <c r="Z497" s="350"/>
      <c r="AA497" s="350"/>
      <c r="AB497" s="350"/>
      <c r="AC497" s="350"/>
      <c r="AD497" s="350"/>
      <c r="AE497" s="350"/>
      <c r="AF497" s="350"/>
      <c r="AG497" s="350"/>
      <c r="AH497" s="350"/>
      <c r="AI497" s="350"/>
    </row>
    <row r="498" spans="24:35">
      <c r="X498" s="350"/>
      <c r="Y498" s="350"/>
      <c r="Z498" s="350"/>
      <c r="AA498" s="350"/>
      <c r="AB498" s="350"/>
      <c r="AC498" s="350"/>
      <c r="AD498" s="350"/>
      <c r="AE498" s="350"/>
      <c r="AF498" s="350"/>
      <c r="AG498" s="350"/>
      <c r="AH498" s="350"/>
      <c r="AI498" s="350"/>
    </row>
    <row r="499" spans="24:35">
      <c r="X499" s="350"/>
      <c r="Y499" s="350"/>
      <c r="Z499" s="350"/>
      <c r="AA499" s="350"/>
      <c r="AB499" s="350"/>
      <c r="AC499" s="350"/>
      <c r="AD499" s="350"/>
      <c r="AE499" s="350"/>
      <c r="AF499" s="350"/>
      <c r="AG499" s="350"/>
      <c r="AH499" s="350"/>
      <c r="AI499" s="350"/>
    </row>
    <row r="500" spans="24:35">
      <c r="X500" s="350"/>
      <c r="Y500" s="350"/>
      <c r="Z500" s="350"/>
      <c r="AA500" s="350"/>
      <c r="AB500" s="350"/>
      <c r="AC500" s="350"/>
      <c r="AD500" s="350"/>
      <c r="AE500" s="350"/>
      <c r="AF500" s="350"/>
      <c r="AG500" s="350"/>
      <c r="AH500" s="350"/>
      <c r="AI500" s="350"/>
    </row>
    <row r="501" spans="24:35">
      <c r="X501" s="350"/>
      <c r="Y501" s="350"/>
      <c r="Z501" s="350"/>
      <c r="AA501" s="350"/>
      <c r="AB501" s="350"/>
      <c r="AC501" s="350"/>
      <c r="AD501" s="350"/>
      <c r="AE501" s="350"/>
      <c r="AF501" s="350"/>
      <c r="AG501" s="350"/>
      <c r="AH501" s="350"/>
      <c r="AI501" s="350"/>
    </row>
    <row r="502" spans="24:35">
      <c r="X502" s="350"/>
      <c r="Y502" s="350"/>
      <c r="Z502" s="350"/>
      <c r="AA502" s="350"/>
      <c r="AB502" s="350"/>
      <c r="AC502" s="350"/>
      <c r="AD502" s="350"/>
      <c r="AE502" s="350"/>
      <c r="AF502" s="350"/>
      <c r="AG502" s="350"/>
      <c r="AH502" s="350"/>
      <c r="AI502" s="350"/>
    </row>
    <row r="503" spans="24:35">
      <c r="X503" s="350"/>
      <c r="Y503" s="350"/>
      <c r="Z503" s="350"/>
      <c r="AA503" s="350"/>
      <c r="AB503" s="350"/>
      <c r="AC503" s="350"/>
      <c r="AD503" s="350"/>
      <c r="AE503" s="350"/>
      <c r="AF503" s="350"/>
      <c r="AG503" s="350"/>
      <c r="AH503" s="350"/>
      <c r="AI503" s="350"/>
    </row>
    <row r="504" spans="24:35">
      <c r="X504" s="350"/>
      <c r="Y504" s="350"/>
      <c r="Z504" s="350"/>
      <c r="AA504" s="350"/>
      <c r="AB504" s="350"/>
      <c r="AC504" s="350"/>
      <c r="AD504" s="350"/>
      <c r="AE504" s="350"/>
      <c r="AF504" s="350"/>
      <c r="AG504" s="350"/>
      <c r="AH504" s="350"/>
      <c r="AI504" s="350"/>
    </row>
    <row r="505" spans="24:35">
      <c r="X505" s="350"/>
      <c r="Y505" s="350"/>
      <c r="Z505" s="350"/>
      <c r="AA505" s="350"/>
      <c r="AB505" s="350"/>
      <c r="AC505" s="350"/>
      <c r="AD505" s="350"/>
      <c r="AE505" s="350"/>
      <c r="AF505" s="350"/>
      <c r="AG505" s="350"/>
      <c r="AH505" s="350"/>
      <c r="AI505" s="350"/>
    </row>
    <row r="506" spans="24:35">
      <c r="X506" s="350"/>
      <c r="Y506" s="350"/>
      <c r="Z506" s="350"/>
      <c r="AA506" s="350"/>
      <c r="AB506" s="350"/>
      <c r="AC506" s="350"/>
      <c r="AD506" s="350"/>
      <c r="AE506" s="350"/>
      <c r="AF506" s="350"/>
      <c r="AG506" s="350"/>
      <c r="AH506" s="350"/>
      <c r="AI506" s="350"/>
    </row>
    <row r="507" spans="24:35">
      <c r="X507" s="350"/>
      <c r="Y507" s="350"/>
      <c r="Z507" s="350"/>
      <c r="AA507" s="350"/>
      <c r="AB507" s="350"/>
      <c r="AC507" s="350"/>
      <c r="AD507" s="350"/>
      <c r="AE507" s="350"/>
      <c r="AF507" s="350"/>
      <c r="AG507" s="350"/>
      <c r="AH507" s="350"/>
      <c r="AI507" s="350"/>
    </row>
    <row r="508" spans="24:35">
      <c r="X508" s="350"/>
      <c r="Y508" s="350"/>
      <c r="Z508" s="350"/>
      <c r="AA508" s="350"/>
      <c r="AB508" s="350"/>
      <c r="AC508" s="350"/>
      <c r="AD508" s="350"/>
      <c r="AE508" s="350"/>
      <c r="AF508" s="350"/>
      <c r="AG508" s="350"/>
      <c r="AH508" s="350"/>
      <c r="AI508" s="350"/>
    </row>
    <row r="509" spans="24:35">
      <c r="X509" s="350"/>
      <c r="Y509" s="350"/>
      <c r="Z509" s="350"/>
      <c r="AA509" s="350"/>
      <c r="AB509" s="350"/>
      <c r="AC509" s="350"/>
      <c r="AD509" s="350"/>
      <c r="AE509" s="350"/>
      <c r="AF509" s="350"/>
      <c r="AG509" s="350"/>
      <c r="AH509" s="350"/>
      <c r="AI509" s="350"/>
    </row>
    <row r="510" spans="24:35">
      <c r="X510" s="350"/>
      <c r="Y510" s="350"/>
      <c r="Z510" s="350"/>
      <c r="AA510" s="350"/>
      <c r="AB510" s="350"/>
      <c r="AC510" s="350"/>
      <c r="AD510" s="350"/>
      <c r="AE510" s="350"/>
      <c r="AF510" s="350"/>
      <c r="AG510" s="350"/>
      <c r="AH510" s="350"/>
      <c r="AI510" s="350"/>
    </row>
    <row r="511" spans="24:35">
      <c r="X511" s="350"/>
      <c r="Y511" s="350"/>
      <c r="Z511" s="350"/>
      <c r="AA511" s="350"/>
      <c r="AB511" s="350"/>
      <c r="AC511" s="350"/>
      <c r="AD511" s="350"/>
      <c r="AE511" s="350"/>
      <c r="AF511" s="350"/>
      <c r="AG511" s="350"/>
      <c r="AH511" s="350"/>
      <c r="AI511" s="350"/>
    </row>
    <row r="512" spans="24:35">
      <c r="X512" s="350"/>
      <c r="Y512" s="350"/>
      <c r="Z512" s="350"/>
      <c r="AA512" s="350"/>
      <c r="AB512" s="350"/>
      <c r="AC512" s="350"/>
      <c r="AD512" s="350"/>
      <c r="AE512" s="350"/>
      <c r="AF512" s="350"/>
      <c r="AG512" s="350"/>
      <c r="AH512" s="350"/>
      <c r="AI512" s="350"/>
    </row>
    <row r="513" spans="24:35">
      <c r="X513" s="350"/>
      <c r="Y513" s="350"/>
      <c r="Z513" s="350"/>
      <c r="AA513" s="350"/>
      <c r="AB513" s="350"/>
      <c r="AC513" s="350"/>
      <c r="AD513" s="350"/>
      <c r="AE513" s="350"/>
      <c r="AF513" s="350"/>
      <c r="AG513" s="350"/>
      <c r="AH513" s="350"/>
      <c r="AI513" s="350"/>
    </row>
    <row r="514" spans="24:35">
      <c r="X514" s="350"/>
      <c r="Y514" s="350"/>
      <c r="Z514" s="350"/>
      <c r="AA514" s="350"/>
      <c r="AB514" s="350"/>
      <c r="AC514" s="350"/>
      <c r="AD514" s="350"/>
      <c r="AE514" s="350"/>
      <c r="AF514" s="350"/>
      <c r="AG514" s="350"/>
      <c r="AH514" s="350"/>
      <c r="AI514" s="350"/>
    </row>
    <row r="515" spans="24:35">
      <c r="X515" s="350"/>
      <c r="Y515" s="350"/>
      <c r="Z515" s="350"/>
      <c r="AA515" s="350"/>
      <c r="AB515" s="350"/>
      <c r="AC515" s="350"/>
      <c r="AD515" s="350"/>
      <c r="AE515" s="350"/>
      <c r="AF515" s="350"/>
      <c r="AG515" s="350"/>
      <c r="AH515" s="350"/>
      <c r="AI515" s="350"/>
    </row>
    <row r="516" spans="24:35">
      <c r="X516" s="350"/>
      <c r="Y516" s="350"/>
      <c r="Z516" s="350"/>
      <c r="AA516" s="350"/>
      <c r="AB516" s="350"/>
      <c r="AC516" s="350"/>
      <c r="AD516" s="350"/>
      <c r="AE516" s="350"/>
      <c r="AF516" s="350"/>
      <c r="AG516" s="350"/>
      <c r="AH516" s="350"/>
      <c r="AI516" s="350"/>
    </row>
    <row r="517" spans="24:35">
      <c r="X517" s="350"/>
      <c r="Y517" s="350"/>
      <c r="Z517" s="350"/>
      <c r="AA517" s="350"/>
      <c r="AB517" s="350"/>
      <c r="AC517" s="350"/>
      <c r="AD517" s="350"/>
      <c r="AE517" s="350"/>
      <c r="AF517" s="350"/>
      <c r="AG517" s="350"/>
      <c r="AH517" s="350"/>
      <c r="AI517" s="350"/>
    </row>
    <row r="518" spans="24:35">
      <c r="X518" s="350"/>
      <c r="Y518" s="350"/>
      <c r="Z518" s="350"/>
      <c r="AA518" s="350"/>
      <c r="AB518" s="350"/>
      <c r="AC518" s="350"/>
      <c r="AD518" s="350"/>
      <c r="AE518" s="350"/>
      <c r="AF518" s="350"/>
      <c r="AG518" s="350"/>
      <c r="AH518" s="350"/>
      <c r="AI518" s="350"/>
    </row>
    <row r="519" spans="24:35">
      <c r="X519" s="350"/>
      <c r="Y519" s="350"/>
      <c r="Z519" s="350"/>
      <c r="AA519" s="350"/>
      <c r="AB519" s="350"/>
      <c r="AC519" s="350"/>
      <c r="AD519" s="350"/>
      <c r="AE519" s="350"/>
      <c r="AF519" s="350"/>
      <c r="AG519" s="350"/>
      <c r="AH519" s="350"/>
      <c r="AI519" s="350"/>
    </row>
    <row r="520" spans="24:35">
      <c r="X520" s="350"/>
      <c r="Y520" s="350"/>
      <c r="Z520" s="350"/>
      <c r="AA520" s="350"/>
      <c r="AB520" s="350"/>
      <c r="AC520" s="350"/>
      <c r="AD520" s="350"/>
      <c r="AE520" s="350"/>
      <c r="AF520" s="350"/>
      <c r="AG520" s="350"/>
      <c r="AH520" s="350"/>
      <c r="AI520" s="350"/>
    </row>
    <row r="521" spans="24:35">
      <c r="X521" s="350"/>
      <c r="Y521" s="350"/>
      <c r="Z521" s="350"/>
      <c r="AA521" s="350"/>
      <c r="AB521" s="350"/>
      <c r="AC521" s="350"/>
      <c r="AD521" s="350"/>
      <c r="AE521" s="350"/>
      <c r="AF521" s="350"/>
      <c r="AG521" s="350"/>
      <c r="AH521" s="350"/>
      <c r="AI521" s="350"/>
    </row>
    <row r="522" spans="24:35">
      <c r="X522" s="350"/>
      <c r="Y522" s="350"/>
      <c r="Z522" s="350"/>
      <c r="AA522" s="350"/>
      <c r="AB522" s="350"/>
      <c r="AC522" s="350"/>
      <c r="AD522" s="350"/>
      <c r="AE522" s="350"/>
      <c r="AF522" s="350"/>
      <c r="AG522" s="350"/>
      <c r="AH522" s="350"/>
      <c r="AI522" s="350"/>
    </row>
    <row r="523" spans="24:35">
      <c r="X523" s="350"/>
      <c r="Y523" s="350"/>
      <c r="Z523" s="350"/>
      <c r="AA523" s="350"/>
      <c r="AB523" s="350"/>
      <c r="AC523" s="350"/>
      <c r="AD523" s="350"/>
      <c r="AE523" s="350"/>
      <c r="AF523" s="350"/>
      <c r="AG523" s="350"/>
      <c r="AH523" s="350"/>
      <c r="AI523" s="350"/>
    </row>
    <row r="524" spans="24:35">
      <c r="X524" s="350"/>
      <c r="Y524" s="350"/>
      <c r="Z524" s="350"/>
      <c r="AA524" s="350"/>
      <c r="AB524" s="350"/>
      <c r="AC524" s="350"/>
      <c r="AD524" s="350"/>
      <c r="AE524" s="350"/>
      <c r="AF524" s="350"/>
      <c r="AG524" s="350"/>
      <c r="AH524" s="350"/>
      <c r="AI524" s="350"/>
    </row>
    <row r="525" spans="24:35">
      <c r="X525" s="350"/>
      <c r="Y525" s="350"/>
      <c r="Z525" s="350"/>
      <c r="AA525" s="350"/>
      <c r="AB525" s="350"/>
      <c r="AC525" s="350"/>
      <c r="AD525" s="350"/>
      <c r="AE525" s="350"/>
      <c r="AF525" s="350"/>
      <c r="AG525" s="350"/>
      <c r="AH525" s="350"/>
      <c r="AI525" s="350"/>
    </row>
    <row r="526" spans="24:35">
      <c r="X526" s="350"/>
      <c r="Y526" s="350"/>
      <c r="Z526" s="350"/>
      <c r="AA526" s="350"/>
      <c r="AB526" s="350"/>
      <c r="AC526" s="350"/>
      <c r="AD526" s="350"/>
      <c r="AE526" s="350"/>
      <c r="AF526" s="350"/>
      <c r="AG526" s="350"/>
      <c r="AH526" s="350"/>
      <c r="AI526" s="350"/>
    </row>
    <row r="527" spans="24:35">
      <c r="X527" s="350"/>
      <c r="Y527" s="350"/>
      <c r="Z527" s="350"/>
      <c r="AA527" s="350"/>
      <c r="AB527" s="350"/>
      <c r="AC527" s="350"/>
      <c r="AD527" s="350"/>
      <c r="AE527" s="350"/>
      <c r="AF527" s="350"/>
      <c r="AG527" s="350"/>
      <c r="AH527" s="350"/>
      <c r="AI527" s="350"/>
    </row>
    <row r="528" spans="24:35">
      <c r="X528" s="350"/>
      <c r="Y528" s="350"/>
      <c r="Z528" s="350"/>
      <c r="AA528" s="350"/>
      <c r="AB528" s="350"/>
      <c r="AC528" s="350"/>
      <c r="AD528" s="350"/>
      <c r="AE528" s="350"/>
      <c r="AF528" s="350"/>
      <c r="AG528" s="350"/>
      <c r="AH528" s="350"/>
      <c r="AI528" s="350"/>
    </row>
    <row r="529" spans="24:35">
      <c r="X529" s="350"/>
      <c r="Y529" s="350"/>
      <c r="Z529" s="350"/>
      <c r="AA529" s="350"/>
      <c r="AB529" s="350"/>
      <c r="AC529" s="350"/>
      <c r="AD529" s="350"/>
      <c r="AE529" s="350"/>
      <c r="AF529" s="350"/>
      <c r="AG529" s="350"/>
      <c r="AH529" s="350"/>
      <c r="AI529" s="350"/>
    </row>
    <row r="530" spans="24:35">
      <c r="X530" s="350"/>
      <c r="Y530" s="350"/>
      <c r="Z530" s="350"/>
      <c r="AA530" s="350"/>
      <c r="AB530" s="350"/>
      <c r="AC530" s="350"/>
      <c r="AD530" s="350"/>
      <c r="AE530" s="350"/>
      <c r="AF530" s="350"/>
      <c r="AG530" s="350"/>
      <c r="AH530" s="350"/>
      <c r="AI530" s="350"/>
    </row>
    <row r="531" spans="24:35">
      <c r="X531" s="350"/>
      <c r="Y531" s="350"/>
      <c r="Z531" s="350"/>
      <c r="AA531" s="350"/>
      <c r="AB531" s="350"/>
      <c r="AC531" s="350"/>
      <c r="AD531" s="350"/>
      <c r="AE531" s="350"/>
      <c r="AF531" s="350"/>
      <c r="AG531" s="350"/>
      <c r="AH531" s="350"/>
      <c r="AI531" s="350"/>
    </row>
    <row r="532" spans="24:35">
      <c r="X532" s="350"/>
      <c r="Y532" s="350"/>
      <c r="Z532" s="350"/>
      <c r="AA532" s="350"/>
      <c r="AB532" s="350"/>
      <c r="AC532" s="350"/>
      <c r="AD532" s="350"/>
      <c r="AE532" s="350"/>
      <c r="AF532" s="350"/>
      <c r="AG532" s="350"/>
      <c r="AH532" s="350"/>
      <c r="AI532" s="350"/>
    </row>
    <row r="533" spans="24:35">
      <c r="X533" s="350"/>
      <c r="Y533" s="350"/>
      <c r="Z533" s="350"/>
      <c r="AA533" s="350"/>
      <c r="AB533" s="350"/>
      <c r="AC533" s="350"/>
      <c r="AD533" s="350"/>
      <c r="AE533" s="350"/>
      <c r="AF533" s="350"/>
      <c r="AG533" s="350"/>
      <c r="AH533" s="350"/>
      <c r="AI533" s="350"/>
    </row>
    <row r="534" spans="24:35">
      <c r="X534" s="350"/>
      <c r="Y534" s="350"/>
      <c r="Z534" s="350"/>
      <c r="AA534" s="350"/>
      <c r="AB534" s="350"/>
      <c r="AC534" s="350"/>
      <c r="AD534" s="350"/>
      <c r="AE534" s="350"/>
      <c r="AF534" s="350"/>
      <c r="AG534" s="350"/>
      <c r="AH534" s="350"/>
      <c r="AI534" s="350"/>
    </row>
    <row r="535" spans="24:35">
      <c r="X535" s="350"/>
      <c r="Y535" s="350"/>
      <c r="Z535" s="350"/>
      <c r="AA535" s="350"/>
      <c r="AB535" s="350"/>
      <c r="AC535" s="350"/>
      <c r="AD535" s="350"/>
      <c r="AE535" s="350"/>
      <c r="AF535" s="350"/>
      <c r="AG535" s="350"/>
      <c r="AH535" s="350"/>
      <c r="AI535" s="350"/>
    </row>
    <row r="536" spans="24:35">
      <c r="X536" s="350"/>
      <c r="Y536" s="350"/>
      <c r="Z536" s="350"/>
      <c r="AA536" s="350"/>
      <c r="AB536" s="350"/>
      <c r="AC536" s="350"/>
      <c r="AD536" s="350"/>
      <c r="AE536" s="350"/>
      <c r="AF536" s="350"/>
      <c r="AG536" s="350"/>
      <c r="AH536" s="350"/>
      <c r="AI536" s="350"/>
    </row>
    <row r="537" spans="24:35">
      <c r="X537" s="350"/>
      <c r="Y537" s="350"/>
      <c r="Z537" s="350"/>
      <c r="AA537" s="350"/>
      <c r="AB537" s="350"/>
      <c r="AC537" s="350"/>
      <c r="AD537" s="350"/>
      <c r="AE537" s="350"/>
      <c r="AF537" s="350"/>
      <c r="AG537" s="350"/>
      <c r="AH537" s="350"/>
      <c r="AI537" s="350"/>
    </row>
    <row r="538" spans="24:35">
      <c r="X538" s="350"/>
      <c r="Y538" s="350"/>
      <c r="Z538" s="350"/>
      <c r="AA538" s="350"/>
      <c r="AB538" s="350"/>
      <c r="AC538" s="350"/>
      <c r="AD538" s="350"/>
      <c r="AE538" s="350"/>
      <c r="AF538" s="350"/>
      <c r="AG538" s="350"/>
      <c r="AH538" s="350"/>
      <c r="AI538" s="350"/>
    </row>
    <row r="539" spans="24:35">
      <c r="X539" s="350"/>
      <c r="Y539" s="350"/>
      <c r="Z539" s="350"/>
      <c r="AA539" s="350"/>
      <c r="AB539" s="350"/>
      <c r="AC539" s="350"/>
      <c r="AD539" s="350"/>
      <c r="AE539" s="350"/>
      <c r="AF539" s="350"/>
      <c r="AG539" s="350"/>
      <c r="AH539" s="350"/>
      <c r="AI539" s="350"/>
    </row>
    <row r="540" spans="24:35">
      <c r="X540" s="350"/>
      <c r="Y540" s="350"/>
      <c r="Z540" s="350"/>
      <c r="AA540" s="350"/>
      <c r="AB540" s="350"/>
      <c r="AC540" s="350"/>
      <c r="AD540" s="350"/>
      <c r="AE540" s="350"/>
      <c r="AF540" s="350"/>
      <c r="AG540" s="350"/>
      <c r="AH540" s="350"/>
      <c r="AI540" s="350"/>
    </row>
    <row r="541" spans="24:35">
      <c r="X541" s="350"/>
      <c r="Y541" s="350"/>
      <c r="Z541" s="350"/>
      <c r="AA541" s="350"/>
      <c r="AB541" s="350"/>
      <c r="AC541" s="350"/>
      <c r="AD541" s="350"/>
      <c r="AE541" s="350"/>
      <c r="AF541" s="350"/>
      <c r="AG541" s="350"/>
      <c r="AH541" s="350"/>
      <c r="AI541" s="350"/>
    </row>
    <row r="542" spans="24:35">
      <c r="X542" s="350"/>
      <c r="Y542" s="350"/>
      <c r="Z542" s="350"/>
      <c r="AA542" s="350"/>
      <c r="AB542" s="350"/>
      <c r="AC542" s="350"/>
      <c r="AD542" s="350"/>
      <c r="AE542" s="350"/>
      <c r="AF542" s="350"/>
      <c r="AG542" s="350"/>
      <c r="AH542" s="350"/>
      <c r="AI542" s="350"/>
    </row>
    <row r="543" spans="24:35">
      <c r="X543" s="350"/>
      <c r="Y543" s="350"/>
      <c r="Z543" s="350"/>
      <c r="AA543" s="350"/>
      <c r="AB543" s="350"/>
      <c r="AC543" s="350"/>
      <c r="AD543" s="350"/>
      <c r="AE543" s="350"/>
      <c r="AF543" s="350"/>
      <c r="AG543" s="350"/>
      <c r="AH543" s="350"/>
      <c r="AI543" s="350"/>
    </row>
    <row r="544" spans="24:35">
      <c r="X544" s="350"/>
      <c r="Y544" s="350"/>
      <c r="Z544" s="350"/>
      <c r="AA544" s="350"/>
      <c r="AB544" s="350"/>
      <c r="AC544" s="350"/>
      <c r="AD544" s="350"/>
      <c r="AE544" s="350"/>
      <c r="AF544" s="350"/>
      <c r="AG544" s="350"/>
      <c r="AH544" s="350"/>
      <c r="AI544" s="350"/>
    </row>
    <row r="545" spans="24:35">
      <c r="X545" s="350"/>
      <c r="Y545" s="350"/>
      <c r="Z545" s="350"/>
      <c r="AA545" s="350"/>
      <c r="AB545" s="350"/>
      <c r="AC545" s="350"/>
      <c r="AD545" s="350"/>
      <c r="AE545" s="350"/>
      <c r="AF545" s="350"/>
      <c r="AG545" s="350"/>
      <c r="AH545" s="350"/>
      <c r="AI545" s="350"/>
    </row>
    <row r="546" spans="24:35">
      <c r="X546" s="350"/>
      <c r="Y546" s="350"/>
      <c r="Z546" s="350"/>
      <c r="AA546" s="350"/>
      <c r="AB546" s="350"/>
      <c r="AC546" s="350"/>
      <c r="AD546" s="350"/>
      <c r="AE546" s="350"/>
      <c r="AF546" s="350"/>
      <c r="AG546" s="350"/>
      <c r="AH546" s="350"/>
      <c r="AI546" s="350"/>
    </row>
    <row r="547" spans="24:35">
      <c r="X547" s="350"/>
      <c r="Y547" s="350"/>
      <c r="Z547" s="350"/>
      <c r="AA547" s="350"/>
      <c r="AB547" s="350"/>
      <c r="AC547" s="350"/>
      <c r="AD547" s="350"/>
      <c r="AE547" s="350"/>
      <c r="AF547" s="350"/>
      <c r="AG547" s="350"/>
      <c r="AH547" s="350"/>
      <c r="AI547" s="350"/>
    </row>
    <row r="548" spans="24:35">
      <c r="X548" s="350"/>
      <c r="Y548" s="350"/>
      <c r="Z548" s="350"/>
      <c r="AA548" s="350"/>
      <c r="AB548" s="350"/>
      <c r="AC548" s="350"/>
      <c r="AD548" s="350"/>
      <c r="AE548" s="350"/>
      <c r="AF548" s="350"/>
      <c r="AG548" s="350"/>
      <c r="AH548" s="350"/>
      <c r="AI548" s="350"/>
    </row>
    <row r="549" spans="24:35">
      <c r="X549" s="350"/>
      <c r="Y549" s="350"/>
      <c r="Z549" s="350"/>
      <c r="AA549" s="350"/>
      <c r="AB549" s="350"/>
      <c r="AC549" s="350"/>
      <c r="AD549" s="350"/>
      <c r="AE549" s="350"/>
      <c r="AF549" s="350"/>
      <c r="AG549" s="350"/>
      <c r="AH549" s="350"/>
      <c r="AI549" s="350"/>
    </row>
    <row r="550" spans="24:35">
      <c r="X550" s="350"/>
      <c r="Y550" s="350"/>
      <c r="Z550" s="350"/>
      <c r="AA550" s="350"/>
      <c r="AB550" s="350"/>
      <c r="AC550" s="350"/>
      <c r="AD550" s="350"/>
      <c r="AE550" s="350"/>
      <c r="AF550" s="350"/>
      <c r="AG550" s="350"/>
      <c r="AH550" s="350"/>
      <c r="AI550" s="350"/>
    </row>
    <row r="551" spans="24:35">
      <c r="X551" s="350"/>
      <c r="Y551" s="350"/>
      <c r="Z551" s="350"/>
      <c r="AA551" s="350"/>
      <c r="AB551" s="350"/>
      <c r="AC551" s="350"/>
      <c r="AD551" s="350"/>
      <c r="AE551" s="350"/>
      <c r="AF551" s="350"/>
      <c r="AG551" s="350"/>
      <c r="AH551" s="350"/>
      <c r="AI551" s="350"/>
    </row>
    <row r="552" spans="24:35">
      <c r="X552" s="350"/>
      <c r="Y552" s="350"/>
      <c r="Z552" s="350"/>
      <c r="AA552" s="350"/>
      <c r="AB552" s="350"/>
      <c r="AC552" s="350"/>
      <c r="AD552" s="350"/>
      <c r="AE552" s="350"/>
      <c r="AF552" s="350"/>
      <c r="AG552" s="350"/>
      <c r="AH552" s="350"/>
      <c r="AI552" s="350"/>
    </row>
    <row r="553" spans="24:35">
      <c r="X553" s="350"/>
      <c r="Y553" s="350"/>
      <c r="Z553" s="350"/>
      <c r="AA553" s="350"/>
      <c r="AB553" s="350"/>
      <c r="AC553" s="350"/>
      <c r="AD553" s="350"/>
      <c r="AE553" s="350"/>
      <c r="AF553" s="350"/>
      <c r="AG553" s="350"/>
      <c r="AH553" s="350"/>
      <c r="AI553" s="350"/>
    </row>
    <row r="554" spans="24:35">
      <c r="X554" s="350"/>
      <c r="Y554" s="350"/>
      <c r="Z554" s="350"/>
      <c r="AA554" s="350"/>
      <c r="AB554" s="350"/>
      <c r="AC554" s="350"/>
      <c r="AD554" s="350"/>
      <c r="AE554" s="350"/>
      <c r="AF554" s="350"/>
      <c r="AG554" s="350"/>
      <c r="AH554" s="350"/>
      <c r="AI554" s="350"/>
    </row>
    <row r="555" spans="24:35">
      <c r="X555" s="350"/>
      <c r="Y555" s="350"/>
      <c r="Z555" s="350"/>
      <c r="AA555" s="350"/>
      <c r="AB555" s="350"/>
      <c r="AC555" s="350"/>
      <c r="AD555" s="350"/>
      <c r="AE555" s="350"/>
      <c r="AF555" s="350"/>
      <c r="AG555" s="350"/>
      <c r="AH555" s="350"/>
      <c r="AI555" s="350"/>
    </row>
    <row r="556" spans="24:35">
      <c r="X556" s="350"/>
      <c r="Y556" s="350"/>
      <c r="Z556" s="350"/>
      <c r="AA556" s="350"/>
      <c r="AB556" s="350"/>
      <c r="AC556" s="350"/>
      <c r="AD556" s="350"/>
      <c r="AE556" s="350"/>
      <c r="AF556" s="350"/>
      <c r="AG556" s="350"/>
      <c r="AH556" s="350"/>
      <c r="AI556" s="350"/>
    </row>
    <row r="557" spans="24:35">
      <c r="X557" s="350"/>
      <c r="Y557" s="350"/>
      <c r="Z557" s="350"/>
      <c r="AA557" s="350"/>
      <c r="AB557" s="350"/>
      <c r="AC557" s="350"/>
      <c r="AD557" s="350"/>
      <c r="AE557" s="350"/>
      <c r="AF557" s="350"/>
      <c r="AG557" s="350"/>
      <c r="AH557" s="350"/>
      <c r="AI557" s="350"/>
    </row>
    <row r="558" spans="24:35">
      <c r="X558" s="350"/>
      <c r="Y558" s="350"/>
      <c r="Z558" s="350"/>
      <c r="AA558" s="350"/>
      <c r="AB558" s="350"/>
      <c r="AC558" s="350"/>
      <c r="AD558" s="350"/>
      <c r="AE558" s="350"/>
      <c r="AF558" s="350"/>
      <c r="AG558" s="350"/>
      <c r="AH558" s="350"/>
      <c r="AI558" s="350"/>
    </row>
    <row r="559" spans="24:35">
      <c r="X559" s="350"/>
      <c r="Y559" s="350"/>
      <c r="Z559" s="350"/>
      <c r="AA559" s="350"/>
      <c r="AB559" s="350"/>
      <c r="AC559" s="350"/>
      <c r="AD559" s="350"/>
      <c r="AE559" s="350"/>
      <c r="AF559" s="350"/>
      <c r="AG559" s="350"/>
      <c r="AH559" s="350"/>
      <c r="AI559" s="350"/>
    </row>
    <row r="560" spans="24:35">
      <c r="X560" s="350"/>
      <c r="Y560" s="350"/>
      <c r="Z560" s="350"/>
      <c r="AA560" s="350"/>
      <c r="AB560" s="350"/>
      <c r="AC560" s="350"/>
      <c r="AD560" s="350"/>
      <c r="AE560" s="350"/>
      <c r="AF560" s="350"/>
      <c r="AG560" s="350"/>
      <c r="AH560" s="350"/>
      <c r="AI560" s="350"/>
    </row>
    <row r="561" spans="24:35">
      <c r="X561" s="350"/>
      <c r="Y561" s="350"/>
      <c r="Z561" s="350"/>
      <c r="AA561" s="350"/>
      <c r="AB561" s="350"/>
      <c r="AC561" s="350"/>
      <c r="AD561" s="350"/>
      <c r="AE561" s="350"/>
      <c r="AF561" s="350"/>
      <c r="AG561" s="350"/>
      <c r="AH561" s="350"/>
      <c r="AI561" s="350"/>
    </row>
    <row r="562" spans="24:35">
      <c r="X562" s="350"/>
      <c r="Y562" s="350"/>
      <c r="Z562" s="350"/>
      <c r="AA562" s="350"/>
      <c r="AB562" s="350"/>
      <c r="AC562" s="350"/>
      <c r="AD562" s="350"/>
      <c r="AE562" s="350"/>
      <c r="AF562" s="350"/>
      <c r="AG562" s="350"/>
      <c r="AH562" s="350"/>
      <c r="AI562" s="350"/>
    </row>
    <row r="563" spans="24:35">
      <c r="X563" s="350"/>
      <c r="Y563" s="350"/>
      <c r="Z563" s="350"/>
      <c r="AA563" s="350"/>
      <c r="AB563" s="350"/>
      <c r="AC563" s="350"/>
      <c r="AD563" s="350"/>
      <c r="AE563" s="350"/>
      <c r="AF563" s="350"/>
      <c r="AG563" s="350"/>
      <c r="AH563" s="350"/>
      <c r="AI563" s="350"/>
    </row>
    <row r="564" spans="24:35">
      <c r="X564" s="350"/>
      <c r="Y564" s="350"/>
      <c r="Z564" s="350"/>
      <c r="AA564" s="350"/>
      <c r="AB564" s="350"/>
      <c r="AC564" s="350"/>
      <c r="AD564" s="350"/>
      <c r="AE564" s="350"/>
      <c r="AF564" s="350"/>
      <c r="AG564" s="350"/>
      <c r="AH564" s="350"/>
      <c r="AI564" s="350"/>
    </row>
    <row r="565" spans="24:35">
      <c r="X565" s="350"/>
      <c r="Y565" s="350"/>
      <c r="Z565" s="350"/>
      <c r="AA565" s="350"/>
      <c r="AB565" s="350"/>
      <c r="AC565" s="350"/>
      <c r="AD565" s="350"/>
      <c r="AE565" s="350"/>
      <c r="AF565" s="350"/>
      <c r="AG565" s="350"/>
      <c r="AH565" s="350"/>
      <c r="AI565" s="350"/>
    </row>
    <row r="566" spans="24:35">
      <c r="X566" s="350"/>
      <c r="Y566" s="350"/>
      <c r="Z566" s="350"/>
      <c r="AA566" s="350"/>
      <c r="AB566" s="350"/>
      <c r="AC566" s="350"/>
      <c r="AD566" s="350"/>
      <c r="AE566" s="350"/>
      <c r="AF566" s="350"/>
      <c r="AG566" s="350"/>
      <c r="AH566" s="350"/>
      <c r="AI566" s="350"/>
    </row>
    <row r="567" spans="24:35">
      <c r="X567" s="350"/>
      <c r="Y567" s="350"/>
      <c r="Z567" s="350"/>
      <c r="AA567" s="350"/>
      <c r="AB567" s="350"/>
      <c r="AC567" s="350"/>
      <c r="AD567" s="350"/>
      <c r="AE567" s="350"/>
      <c r="AF567" s="350"/>
      <c r="AG567" s="350"/>
      <c r="AH567" s="350"/>
      <c r="AI567" s="350"/>
    </row>
    <row r="568" spans="24:35">
      <c r="X568" s="350"/>
      <c r="Y568" s="350"/>
      <c r="Z568" s="350"/>
      <c r="AA568" s="350"/>
      <c r="AB568" s="350"/>
      <c r="AC568" s="350"/>
      <c r="AD568" s="350"/>
      <c r="AE568" s="350"/>
      <c r="AF568" s="350"/>
      <c r="AG568" s="350"/>
      <c r="AH568" s="350"/>
      <c r="AI568" s="350"/>
    </row>
    <row r="569" spans="24:35">
      <c r="X569" s="350"/>
      <c r="Y569" s="350"/>
      <c r="Z569" s="350"/>
      <c r="AA569" s="350"/>
      <c r="AB569" s="350"/>
      <c r="AC569" s="350"/>
      <c r="AD569" s="350"/>
      <c r="AE569" s="350"/>
      <c r="AF569" s="350"/>
      <c r="AG569" s="350"/>
      <c r="AH569" s="350"/>
      <c r="AI569" s="350"/>
    </row>
    <row r="570" spans="24:35">
      <c r="X570" s="350"/>
      <c r="Y570" s="350"/>
      <c r="Z570" s="350"/>
      <c r="AA570" s="350"/>
      <c r="AB570" s="350"/>
      <c r="AC570" s="350"/>
      <c r="AD570" s="350"/>
      <c r="AE570" s="350"/>
      <c r="AF570" s="350"/>
      <c r="AG570" s="350"/>
      <c r="AH570" s="350"/>
      <c r="AI570" s="350"/>
    </row>
    <row r="571" spans="24:35">
      <c r="X571" s="350"/>
      <c r="Y571" s="350"/>
      <c r="Z571" s="350"/>
      <c r="AA571" s="350"/>
      <c r="AB571" s="350"/>
      <c r="AC571" s="350"/>
      <c r="AD571" s="350"/>
      <c r="AE571" s="350"/>
      <c r="AF571" s="350"/>
      <c r="AG571" s="350"/>
      <c r="AH571" s="350"/>
      <c r="AI571" s="350"/>
    </row>
    <row r="572" spans="24:35">
      <c r="X572" s="350"/>
      <c r="Y572" s="350"/>
      <c r="Z572" s="350"/>
      <c r="AA572" s="350"/>
      <c r="AB572" s="350"/>
      <c r="AC572" s="350"/>
      <c r="AD572" s="350"/>
      <c r="AE572" s="350"/>
      <c r="AF572" s="350"/>
      <c r="AG572" s="350"/>
      <c r="AH572" s="350"/>
      <c r="AI572" s="350"/>
    </row>
    <row r="573" spans="24:35">
      <c r="X573" s="350"/>
      <c r="Y573" s="350"/>
      <c r="Z573" s="350"/>
      <c r="AA573" s="350"/>
      <c r="AB573" s="350"/>
      <c r="AC573" s="350"/>
      <c r="AD573" s="350"/>
      <c r="AE573" s="350"/>
      <c r="AF573" s="350"/>
      <c r="AG573" s="350"/>
      <c r="AH573" s="350"/>
      <c r="AI573" s="350"/>
    </row>
    <row r="574" spans="24:35">
      <c r="X574" s="350"/>
      <c r="Y574" s="350"/>
      <c r="Z574" s="350"/>
      <c r="AA574" s="350"/>
      <c r="AB574" s="350"/>
      <c r="AC574" s="350"/>
      <c r="AD574" s="350"/>
      <c r="AE574" s="350"/>
      <c r="AF574" s="350"/>
      <c r="AG574" s="350"/>
      <c r="AH574" s="350"/>
      <c r="AI574" s="350"/>
    </row>
    <row r="575" spans="24:35">
      <c r="X575" s="350"/>
      <c r="Y575" s="350"/>
      <c r="Z575" s="350"/>
      <c r="AA575" s="350"/>
      <c r="AB575" s="350"/>
      <c r="AC575" s="350"/>
      <c r="AD575" s="350"/>
      <c r="AE575" s="350"/>
      <c r="AF575" s="350"/>
      <c r="AG575" s="350"/>
      <c r="AH575" s="350"/>
      <c r="AI575" s="350"/>
    </row>
    <row r="576" spans="24:35">
      <c r="X576" s="350"/>
      <c r="Y576" s="350"/>
      <c r="Z576" s="350"/>
      <c r="AA576" s="350"/>
      <c r="AB576" s="350"/>
      <c r="AC576" s="350"/>
      <c r="AD576" s="350"/>
      <c r="AE576" s="350"/>
      <c r="AF576" s="350"/>
      <c r="AG576" s="350"/>
      <c r="AH576" s="350"/>
      <c r="AI576" s="350"/>
    </row>
    <row r="577" spans="24:35">
      <c r="X577" s="350"/>
      <c r="Y577" s="350"/>
      <c r="Z577" s="350"/>
      <c r="AA577" s="350"/>
      <c r="AB577" s="350"/>
      <c r="AC577" s="350"/>
      <c r="AD577" s="350"/>
      <c r="AE577" s="350"/>
      <c r="AF577" s="350"/>
      <c r="AG577" s="350"/>
      <c r="AH577" s="350"/>
      <c r="AI577" s="350"/>
    </row>
    <row r="578" spans="24:35">
      <c r="X578" s="350"/>
      <c r="Y578" s="350"/>
      <c r="Z578" s="350"/>
      <c r="AA578" s="350"/>
      <c r="AB578" s="350"/>
      <c r="AC578" s="350"/>
      <c r="AD578" s="350"/>
      <c r="AE578" s="350"/>
      <c r="AF578" s="350"/>
      <c r="AG578" s="350"/>
      <c r="AH578" s="350"/>
      <c r="AI578" s="350"/>
    </row>
    <row r="579" spans="24:35">
      <c r="X579" s="350"/>
      <c r="Y579" s="350"/>
      <c r="Z579" s="350"/>
      <c r="AA579" s="350"/>
      <c r="AB579" s="350"/>
      <c r="AC579" s="350"/>
      <c r="AD579" s="350"/>
      <c r="AE579" s="350"/>
      <c r="AF579" s="350"/>
      <c r="AG579" s="350"/>
      <c r="AH579" s="350"/>
      <c r="AI579" s="350"/>
    </row>
    <row r="580" spans="24:35">
      <c r="X580" s="350"/>
      <c r="Y580" s="350"/>
      <c r="Z580" s="350"/>
      <c r="AA580" s="350"/>
      <c r="AB580" s="350"/>
      <c r="AC580" s="350"/>
      <c r="AD580" s="350"/>
      <c r="AE580" s="350"/>
      <c r="AF580" s="350"/>
      <c r="AG580" s="350"/>
      <c r="AH580" s="350"/>
      <c r="AI580" s="350"/>
    </row>
    <row r="581" spans="24:35">
      <c r="X581" s="350"/>
      <c r="Y581" s="350"/>
      <c r="Z581" s="350"/>
      <c r="AA581" s="350"/>
      <c r="AB581" s="350"/>
      <c r="AC581" s="350"/>
      <c r="AD581" s="350"/>
      <c r="AE581" s="350"/>
      <c r="AF581" s="350"/>
      <c r="AG581" s="350"/>
      <c r="AH581" s="350"/>
      <c r="AI581" s="350"/>
    </row>
    <row r="582" spans="24:35">
      <c r="X582" s="350"/>
      <c r="Y582" s="350"/>
      <c r="Z582" s="350"/>
      <c r="AA582" s="350"/>
      <c r="AB582" s="350"/>
      <c r="AC582" s="350"/>
      <c r="AD582" s="350"/>
      <c r="AE582" s="350"/>
      <c r="AF582" s="350"/>
      <c r="AG582" s="350"/>
      <c r="AH582" s="350"/>
      <c r="AI582" s="350"/>
    </row>
    <row r="583" spans="24:35">
      <c r="X583" s="350"/>
      <c r="Y583" s="350"/>
      <c r="Z583" s="350"/>
      <c r="AA583" s="350"/>
      <c r="AB583" s="350"/>
      <c r="AC583" s="350"/>
      <c r="AD583" s="350"/>
      <c r="AE583" s="350"/>
      <c r="AF583" s="350"/>
      <c r="AG583" s="350"/>
      <c r="AH583" s="350"/>
      <c r="AI583" s="350"/>
    </row>
    <row r="584" spans="24:35">
      <c r="X584" s="350"/>
      <c r="Y584" s="350"/>
      <c r="Z584" s="350"/>
      <c r="AA584" s="350"/>
      <c r="AB584" s="350"/>
      <c r="AC584" s="350"/>
      <c r="AD584" s="350"/>
      <c r="AE584" s="350"/>
      <c r="AF584" s="350"/>
      <c r="AG584" s="350"/>
      <c r="AH584" s="350"/>
      <c r="AI584" s="350"/>
    </row>
    <row r="585" spans="24:35">
      <c r="X585" s="350"/>
      <c r="Y585" s="350"/>
      <c r="Z585" s="350"/>
      <c r="AA585" s="350"/>
      <c r="AB585" s="350"/>
      <c r="AC585" s="350"/>
      <c r="AD585" s="350"/>
      <c r="AE585" s="350"/>
      <c r="AF585" s="350"/>
      <c r="AG585" s="350"/>
      <c r="AH585" s="350"/>
      <c r="AI585" s="350"/>
    </row>
    <row r="586" spans="24:35">
      <c r="X586" s="350"/>
      <c r="Y586" s="350"/>
      <c r="Z586" s="350"/>
      <c r="AA586" s="350"/>
      <c r="AB586" s="350"/>
      <c r="AC586" s="350"/>
      <c r="AD586" s="350"/>
      <c r="AE586" s="350"/>
      <c r="AF586" s="350"/>
      <c r="AG586" s="350"/>
      <c r="AH586" s="350"/>
      <c r="AI586" s="350"/>
    </row>
    <row r="587" spans="24:35">
      <c r="X587" s="350"/>
      <c r="Y587" s="350"/>
      <c r="Z587" s="350"/>
      <c r="AA587" s="350"/>
      <c r="AB587" s="350"/>
      <c r="AC587" s="350"/>
      <c r="AD587" s="350"/>
      <c r="AE587" s="350"/>
      <c r="AF587" s="350"/>
      <c r="AG587" s="350"/>
      <c r="AH587" s="350"/>
      <c r="AI587" s="350"/>
    </row>
    <row r="588" spans="24:35">
      <c r="X588" s="350"/>
      <c r="Y588" s="350"/>
      <c r="Z588" s="350"/>
      <c r="AA588" s="350"/>
      <c r="AB588" s="350"/>
      <c r="AC588" s="350"/>
      <c r="AD588" s="350"/>
      <c r="AE588" s="350"/>
      <c r="AF588" s="350"/>
      <c r="AG588" s="350"/>
      <c r="AH588" s="350"/>
      <c r="AI588" s="350"/>
    </row>
    <row r="589" spans="24:35">
      <c r="X589" s="350"/>
      <c r="Y589" s="350"/>
      <c r="Z589" s="350"/>
      <c r="AA589" s="350"/>
      <c r="AB589" s="350"/>
      <c r="AC589" s="350"/>
      <c r="AD589" s="350"/>
      <c r="AE589" s="350"/>
      <c r="AF589" s="350"/>
      <c r="AG589" s="350"/>
      <c r="AH589" s="350"/>
      <c r="AI589" s="350"/>
    </row>
    <row r="590" spans="24:35">
      <c r="X590" s="350"/>
      <c r="Y590" s="350"/>
      <c r="Z590" s="350"/>
      <c r="AA590" s="350"/>
      <c r="AB590" s="350"/>
      <c r="AC590" s="350"/>
      <c r="AD590" s="350"/>
      <c r="AE590" s="350"/>
      <c r="AF590" s="350"/>
      <c r="AG590" s="350"/>
      <c r="AH590" s="350"/>
      <c r="AI590" s="350"/>
    </row>
    <row r="591" spans="24:35">
      <c r="X591" s="350"/>
      <c r="Y591" s="350"/>
      <c r="Z591" s="350"/>
      <c r="AA591" s="350"/>
      <c r="AB591" s="350"/>
      <c r="AC591" s="350"/>
      <c r="AD591" s="350"/>
      <c r="AE591" s="350"/>
      <c r="AF591" s="350"/>
      <c r="AG591" s="350"/>
      <c r="AH591" s="350"/>
      <c r="AI591" s="350"/>
    </row>
    <row r="592" spans="24:35">
      <c r="X592" s="350"/>
      <c r="Y592" s="350"/>
      <c r="Z592" s="350"/>
      <c r="AA592" s="350"/>
      <c r="AB592" s="350"/>
      <c r="AC592" s="350"/>
      <c r="AD592" s="350"/>
      <c r="AE592" s="350"/>
      <c r="AF592" s="350"/>
      <c r="AG592" s="350"/>
      <c r="AH592" s="350"/>
      <c r="AI592" s="350"/>
    </row>
    <row r="593" spans="24:35">
      <c r="X593" s="350"/>
      <c r="Y593" s="350"/>
      <c r="Z593" s="350"/>
      <c r="AA593" s="350"/>
      <c r="AB593" s="350"/>
      <c r="AC593" s="350"/>
      <c r="AD593" s="350"/>
      <c r="AE593" s="350"/>
      <c r="AF593" s="350"/>
      <c r="AG593" s="350"/>
      <c r="AH593" s="350"/>
      <c r="AI593" s="350"/>
    </row>
    <row r="594" spans="24:35">
      <c r="X594" s="350"/>
      <c r="Y594" s="350"/>
      <c r="Z594" s="350"/>
      <c r="AA594" s="350"/>
      <c r="AB594" s="350"/>
      <c r="AC594" s="350"/>
      <c r="AD594" s="350"/>
      <c r="AE594" s="350"/>
      <c r="AF594" s="350"/>
      <c r="AG594" s="350"/>
      <c r="AH594" s="350"/>
      <c r="AI594" s="350"/>
    </row>
    <row r="595" spans="24:35">
      <c r="X595" s="350"/>
      <c r="Y595" s="350"/>
      <c r="Z595" s="350"/>
      <c r="AA595" s="350"/>
      <c r="AB595" s="350"/>
      <c r="AC595" s="350"/>
      <c r="AD595" s="350"/>
      <c r="AE595" s="350"/>
      <c r="AF595" s="350"/>
      <c r="AG595" s="350"/>
      <c r="AH595" s="350"/>
      <c r="AI595" s="350"/>
    </row>
    <row r="596" spans="24:35">
      <c r="X596" s="350"/>
      <c r="Y596" s="350"/>
      <c r="Z596" s="350"/>
      <c r="AA596" s="350"/>
      <c r="AB596" s="350"/>
      <c r="AC596" s="350"/>
      <c r="AD596" s="350"/>
      <c r="AE596" s="350"/>
      <c r="AF596" s="350"/>
      <c r="AG596" s="350"/>
      <c r="AH596" s="350"/>
      <c r="AI596" s="350"/>
    </row>
    <row r="597" spans="24:35">
      <c r="X597" s="350"/>
      <c r="Y597" s="350"/>
      <c r="Z597" s="350"/>
      <c r="AA597" s="350"/>
      <c r="AB597" s="350"/>
      <c r="AC597" s="350"/>
      <c r="AD597" s="350"/>
      <c r="AE597" s="350"/>
      <c r="AF597" s="350"/>
      <c r="AG597" s="350"/>
      <c r="AH597" s="350"/>
      <c r="AI597" s="350"/>
    </row>
    <row r="598" spans="24:35">
      <c r="X598" s="350"/>
      <c r="Y598" s="350"/>
      <c r="Z598" s="350"/>
      <c r="AA598" s="350"/>
      <c r="AB598" s="350"/>
      <c r="AC598" s="350"/>
      <c r="AD598" s="350"/>
      <c r="AE598" s="350"/>
      <c r="AF598" s="350"/>
      <c r="AG598" s="350"/>
      <c r="AH598" s="350"/>
      <c r="AI598" s="350"/>
    </row>
    <row r="599" spans="24:35">
      <c r="X599" s="350"/>
      <c r="Y599" s="350"/>
      <c r="Z599" s="350"/>
      <c r="AA599" s="350"/>
      <c r="AB599" s="350"/>
      <c r="AC599" s="350"/>
      <c r="AD599" s="350"/>
      <c r="AE599" s="350"/>
      <c r="AF599" s="350"/>
      <c r="AG599" s="350"/>
      <c r="AH599" s="350"/>
      <c r="AI599" s="350"/>
    </row>
    <row r="600" spans="24:35">
      <c r="X600" s="350"/>
      <c r="Y600" s="350"/>
      <c r="Z600" s="350"/>
      <c r="AA600" s="350"/>
      <c r="AB600" s="350"/>
      <c r="AC600" s="350"/>
      <c r="AD600" s="350"/>
      <c r="AE600" s="350"/>
      <c r="AF600" s="350"/>
      <c r="AG600" s="350"/>
      <c r="AH600" s="350"/>
      <c r="AI600" s="350"/>
    </row>
    <row r="601" spans="24:35">
      <c r="X601" s="350"/>
      <c r="Y601" s="350"/>
      <c r="Z601" s="350"/>
      <c r="AA601" s="350"/>
      <c r="AB601" s="350"/>
      <c r="AC601" s="350"/>
      <c r="AD601" s="350"/>
      <c r="AE601" s="350"/>
      <c r="AF601" s="350"/>
      <c r="AG601" s="350"/>
      <c r="AH601" s="350"/>
      <c r="AI601" s="350"/>
    </row>
    <row r="602" spans="24:35">
      <c r="X602" s="350"/>
      <c r="Y602" s="350"/>
      <c r="Z602" s="350"/>
      <c r="AA602" s="350"/>
      <c r="AB602" s="350"/>
      <c r="AC602" s="350"/>
      <c r="AD602" s="350"/>
      <c r="AE602" s="350"/>
      <c r="AF602" s="350"/>
      <c r="AG602" s="350"/>
      <c r="AH602" s="350"/>
      <c r="AI602" s="350"/>
    </row>
    <row r="603" spans="24:35">
      <c r="X603" s="350"/>
      <c r="Y603" s="350"/>
      <c r="Z603" s="350"/>
      <c r="AA603" s="350"/>
      <c r="AB603" s="350"/>
      <c r="AC603" s="350"/>
      <c r="AD603" s="350"/>
      <c r="AE603" s="350"/>
      <c r="AF603" s="350"/>
      <c r="AG603" s="350"/>
      <c r="AH603" s="350"/>
      <c r="AI603" s="350"/>
    </row>
    <row r="604" spans="24:35">
      <c r="X604" s="350"/>
      <c r="Y604" s="350"/>
      <c r="Z604" s="350"/>
      <c r="AA604" s="350"/>
      <c r="AB604" s="350"/>
      <c r="AC604" s="350"/>
      <c r="AD604" s="350"/>
      <c r="AE604" s="350"/>
      <c r="AF604" s="350"/>
      <c r="AG604" s="350"/>
      <c r="AH604" s="350"/>
      <c r="AI604" s="350"/>
    </row>
    <row r="605" spans="24:35">
      <c r="X605" s="350"/>
      <c r="Y605" s="350"/>
      <c r="Z605" s="350"/>
      <c r="AA605" s="350"/>
      <c r="AB605" s="350"/>
      <c r="AC605" s="350"/>
      <c r="AD605" s="350"/>
      <c r="AE605" s="350"/>
      <c r="AF605" s="350"/>
      <c r="AG605" s="350"/>
      <c r="AH605" s="350"/>
      <c r="AI605" s="350"/>
    </row>
    <row r="606" spans="24:35">
      <c r="X606" s="350"/>
      <c r="Y606" s="350"/>
      <c r="Z606" s="350"/>
      <c r="AA606" s="350"/>
      <c r="AB606" s="350"/>
      <c r="AC606" s="350"/>
      <c r="AD606" s="350"/>
      <c r="AE606" s="350"/>
      <c r="AF606" s="350"/>
      <c r="AG606" s="350"/>
      <c r="AH606" s="350"/>
      <c r="AI606" s="350"/>
    </row>
    <row r="607" spans="24:35">
      <c r="X607" s="350"/>
      <c r="Y607" s="350"/>
      <c r="Z607" s="350"/>
      <c r="AA607" s="350"/>
      <c r="AB607" s="350"/>
      <c r="AC607" s="350"/>
      <c r="AD607" s="350"/>
      <c r="AE607" s="350"/>
      <c r="AF607" s="350"/>
      <c r="AG607" s="350"/>
      <c r="AH607" s="350"/>
      <c r="AI607" s="350"/>
    </row>
    <row r="608" spans="24:35">
      <c r="X608" s="350"/>
      <c r="Y608" s="350"/>
      <c r="Z608" s="350"/>
      <c r="AA608" s="350"/>
      <c r="AB608" s="350"/>
      <c r="AC608" s="350"/>
      <c r="AD608" s="350"/>
      <c r="AE608" s="350"/>
      <c r="AF608" s="350"/>
      <c r="AG608" s="350"/>
      <c r="AH608" s="350"/>
      <c r="AI608" s="350"/>
    </row>
    <row r="609" spans="24:35">
      <c r="X609" s="350"/>
      <c r="Y609" s="350"/>
      <c r="Z609" s="350"/>
      <c r="AA609" s="350"/>
      <c r="AB609" s="350"/>
      <c r="AC609" s="350"/>
      <c r="AD609" s="350"/>
      <c r="AE609" s="350"/>
      <c r="AF609" s="350"/>
      <c r="AG609" s="350"/>
      <c r="AH609" s="350"/>
      <c r="AI609" s="350"/>
    </row>
    <row r="610" spans="24:35">
      <c r="X610" s="350"/>
      <c r="Y610" s="350"/>
      <c r="Z610" s="350"/>
      <c r="AA610" s="350"/>
      <c r="AB610" s="350"/>
      <c r="AC610" s="350"/>
      <c r="AD610" s="350"/>
      <c r="AE610" s="350"/>
      <c r="AF610" s="350"/>
      <c r="AG610" s="350"/>
      <c r="AH610" s="350"/>
      <c r="AI610" s="350"/>
    </row>
    <row r="611" spans="24:35">
      <c r="X611" s="350"/>
      <c r="Y611" s="350"/>
      <c r="Z611" s="350"/>
      <c r="AA611" s="350"/>
      <c r="AB611" s="350"/>
      <c r="AC611" s="350"/>
      <c r="AD611" s="350"/>
      <c r="AE611" s="350"/>
      <c r="AF611" s="350"/>
      <c r="AG611" s="350"/>
      <c r="AH611" s="350"/>
      <c r="AI611" s="350"/>
    </row>
    <row r="612" spans="24:35">
      <c r="X612" s="350"/>
      <c r="Y612" s="350"/>
      <c r="Z612" s="350"/>
      <c r="AA612" s="350"/>
      <c r="AB612" s="350"/>
      <c r="AC612" s="350"/>
      <c r="AD612" s="350"/>
      <c r="AE612" s="350"/>
      <c r="AF612" s="350"/>
      <c r="AG612" s="350"/>
      <c r="AH612" s="350"/>
      <c r="AI612" s="350"/>
    </row>
    <row r="613" spans="24:35">
      <c r="X613" s="350"/>
      <c r="Y613" s="350"/>
      <c r="Z613" s="350"/>
      <c r="AA613" s="350"/>
      <c r="AB613" s="350"/>
      <c r="AC613" s="350"/>
      <c r="AD613" s="350"/>
      <c r="AE613" s="350"/>
      <c r="AF613" s="350"/>
      <c r="AG613" s="350"/>
      <c r="AH613" s="350"/>
      <c r="AI613" s="350"/>
    </row>
    <row r="614" spans="24:35">
      <c r="X614" s="350"/>
      <c r="Y614" s="350"/>
      <c r="Z614" s="350"/>
      <c r="AA614" s="350"/>
      <c r="AB614" s="350"/>
      <c r="AC614" s="350"/>
      <c r="AD614" s="350"/>
      <c r="AE614" s="350"/>
      <c r="AF614" s="350"/>
      <c r="AG614" s="350"/>
      <c r="AH614" s="350"/>
      <c r="AI614" s="350"/>
    </row>
    <row r="615" spans="24:35">
      <c r="X615" s="350"/>
      <c r="Y615" s="350"/>
      <c r="Z615" s="350"/>
      <c r="AA615" s="350"/>
      <c r="AB615" s="350"/>
      <c r="AC615" s="350"/>
      <c r="AD615" s="350"/>
      <c r="AE615" s="350"/>
      <c r="AF615" s="350"/>
      <c r="AG615" s="350"/>
      <c r="AH615" s="350"/>
      <c r="AI615" s="350"/>
    </row>
    <row r="616" spans="24:35">
      <c r="X616" s="350"/>
      <c r="Y616" s="350"/>
      <c r="Z616" s="350"/>
      <c r="AA616" s="350"/>
      <c r="AB616" s="350"/>
      <c r="AC616" s="350"/>
      <c r="AD616" s="350"/>
      <c r="AE616" s="350"/>
      <c r="AF616" s="350"/>
      <c r="AG616" s="350"/>
      <c r="AH616" s="350"/>
      <c r="AI616" s="350"/>
    </row>
    <row r="617" spans="24:35">
      <c r="X617" s="350"/>
      <c r="Y617" s="350"/>
      <c r="Z617" s="350"/>
      <c r="AA617" s="350"/>
      <c r="AB617" s="350"/>
      <c r="AC617" s="350"/>
      <c r="AD617" s="350"/>
      <c r="AE617" s="350"/>
      <c r="AF617" s="350"/>
      <c r="AG617" s="350"/>
      <c r="AH617" s="350"/>
      <c r="AI617" s="350"/>
    </row>
    <row r="618" spans="24:35">
      <c r="X618" s="350"/>
      <c r="Y618" s="350"/>
      <c r="Z618" s="350"/>
      <c r="AA618" s="350"/>
      <c r="AB618" s="350"/>
      <c r="AC618" s="350"/>
      <c r="AD618" s="350"/>
      <c r="AE618" s="350"/>
      <c r="AF618" s="350"/>
      <c r="AG618" s="350"/>
      <c r="AH618" s="350"/>
      <c r="AI618" s="350"/>
    </row>
    <row r="619" spans="24:35">
      <c r="X619" s="350"/>
      <c r="Y619" s="350"/>
      <c r="Z619" s="350"/>
      <c r="AA619" s="350"/>
      <c r="AB619" s="350"/>
      <c r="AC619" s="350"/>
      <c r="AD619" s="350"/>
      <c r="AE619" s="350"/>
      <c r="AF619" s="350"/>
      <c r="AG619" s="350"/>
      <c r="AH619" s="350"/>
      <c r="AI619" s="350"/>
    </row>
    <row r="620" spans="24:35">
      <c r="X620" s="350"/>
      <c r="Y620" s="350"/>
      <c r="Z620" s="350"/>
      <c r="AA620" s="350"/>
      <c r="AB620" s="350"/>
      <c r="AC620" s="350"/>
      <c r="AD620" s="350"/>
      <c r="AE620" s="350"/>
      <c r="AF620" s="350"/>
      <c r="AG620" s="350"/>
      <c r="AH620" s="350"/>
      <c r="AI620" s="350"/>
    </row>
    <row r="621" spans="24:35">
      <c r="X621" s="350"/>
      <c r="Y621" s="350"/>
      <c r="Z621" s="350"/>
      <c r="AA621" s="350"/>
      <c r="AB621" s="350"/>
      <c r="AC621" s="350"/>
      <c r="AD621" s="350"/>
      <c r="AE621" s="350"/>
      <c r="AF621" s="350"/>
      <c r="AG621" s="350"/>
      <c r="AH621" s="350"/>
      <c r="AI621" s="350"/>
    </row>
    <row r="622" spans="24:35">
      <c r="X622" s="350"/>
      <c r="Y622" s="350"/>
      <c r="Z622" s="350"/>
      <c r="AA622" s="350"/>
      <c r="AB622" s="350"/>
      <c r="AC622" s="350"/>
      <c r="AD622" s="350"/>
      <c r="AE622" s="350"/>
      <c r="AF622" s="350"/>
      <c r="AG622" s="350"/>
      <c r="AH622" s="350"/>
      <c r="AI622" s="350"/>
    </row>
    <row r="623" spans="24:35">
      <c r="X623" s="350"/>
      <c r="Y623" s="350"/>
      <c r="Z623" s="350"/>
      <c r="AA623" s="350"/>
      <c r="AB623" s="350"/>
      <c r="AC623" s="350"/>
      <c r="AD623" s="350"/>
      <c r="AE623" s="350"/>
      <c r="AF623" s="350"/>
      <c r="AG623" s="350"/>
      <c r="AH623" s="350"/>
      <c r="AI623" s="350"/>
    </row>
    <row r="624" spans="24:35">
      <c r="X624" s="350"/>
      <c r="Y624" s="350"/>
      <c r="Z624" s="350"/>
      <c r="AA624" s="350"/>
      <c r="AB624" s="350"/>
      <c r="AC624" s="350"/>
      <c r="AD624" s="350"/>
      <c r="AE624" s="350"/>
      <c r="AF624" s="350"/>
      <c r="AG624" s="350"/>
      <c r="AH624" s="350"/>
      <c r="AI624" s="350"/>
    </row>
    <row r="625" spans="24:35">
      <c r="X625" s="350"/>
      <c r="Y625" s="350"/>
      <c r="Z625" s="350"/>
      <c r="AA625" s="350"/>
      <c r="AB625" s="350"/>
      <c r="AC625" s="350"/>
      <c r="AD625" s="350"/>
      <c r="AE625" s="350"/>
      <c r="AF625" s="350"/>
      <c r="AG625" s="350"/>
      <c r="AH625" s="350"/>
      <c r="AI625" s="350"/>
    </row>
    <row r="626" spans="24:35">
      <c r="X626" s="350"/>
      <c r="Y626" s="350"/>
      <c r="Z626" s="350"/>
      <c r="AA626" s="350"/>
      <c r="AB626" s="350"/>
      <c r="AC626" s="350"/>
      <c r="AD626" s="350"/>
      <c r="AE626" s="350"/>
      <c r="AF626" s="350"/>
      <c r="AG626" s="350"/>
      <c r="AH626" s="350"/>
      <c r="AI626" s="350"/>
    </row>
    <row r="627" spans="24:35">
      <c r="X627" s="350"/>
      <c r="Y627" s="350"/>
      <c r="Z627" s="350"/>
      <c r="AA627" s="350"/>
      <c r="AB627" s="350"/>
      <c r="AC627" s="350"/>
      <c r="AD627" s="350"/>
      <c r="AE627" s="350"/>
      <c r="AF627" s="350"/>
      <c r="AG627" s="350"/>
      <c r="AH627" s="350"/>
      <c r="AI627" s="350"/>
    </row>
    <row r="628" spans="24:35">
      <c r="X628" s="350"/>
      <c r="Y628" s="350"/>
      <c r="Z628" s="350"/>
      <c r="AA628" s="350"/>
      <c r="AB628" s="350"/>
      <c r="AC628" s="350"/>
      <c r="AD628" s="350"/>
      <c r="AE628" s="350"/>
      <c r="AF628" s="350"/>
      <c r="AG628" s="350"/>
      <c r="AH628" s="350"/>
      <c r="AI628" s="350"/>
    </row>
    <row r="629" spans="24:35">
      <c r="X629" s="350"/>
      <c r="Y629" s="350"/>
      <c r="Z629" s="350"/>
      <c r="AA629" s="350"/>
      <c r="AB629" s="350"/>
      <c r="AC629" s="350"/>
      <c r="AD629" s="350"/>
      <c r="AE629" s="350"/>
      <c r="AF629" s="350"/>
      <c r="AG629" s="350"/>
      <c r="AH629" s="350"/>
      <c r="AI629" s="350"/>
    </row>
    <row r="630" spans="24:35">
      <c r="X630" s="350"/>
      <c r="Y630" s="350"/>
      <c r="Z630" s="350"/>
      <c r="AA630" s="350"/>
      <c r="AB630" s="350"/>
      <c r="AC630" s="350"/>
      <c r="AD630" s="350"/>
      <c r="AE630" s="350"/>
      <c r="AF630" s="350"/>
      <c r="AG630" s="350"/>
      <c r="AH630" s="350"/>
      <c r="AI630" s="350"/>
    </row>
    <row r="631" spans="24:35">
      <c r="X631" s="350"/>
      <c r="Y631" s="350"/>
      <c r="Z631" s="350"/>
      <c r="AA631" s="350"/>
      <c r="AB631" s="350"/>
      <c r="AC631" s="350"/>
      <c r="AD631" s="350"/>
      <c r="AE631" s="350"/>
      <c r="AF631" s="350"/>
      <c r="AG631" s="350"/>
      <c r="AH631" s="350"/>
      <c r="AI631" s="350"/>
    </row>
    <row r="632" spans="24:35">
      <c r="X632" s="350"/>
      <c r="Y632" s="350"/>
      <c r="Z632" s="350"/>
      <c r="AA632" s="350"/>
      <c r="AB632" s="350"/>
      <c r="AC632" s="350"/>
      <c r="AD632" s="350"/>
      <c r="AE632" s="350"/>
      <c r="AF632" s="350"/>
      <c r="AG632" s="350"/>
      <c r="AH632" s="350"/>
      <c r="AI632" s="350"/>
    </row>
    <row r="633" spans="24:35">
      <c r="X633" s="350"/>
      <c r="Y633" s="350"/>
      <c r="Z633" s="350"/>
      <c r="AA633" s="350"/>
      <c r="AB633" s="350"/>
      <c r="AC633" s="350"/>
      <c r="AD633" s="350"/>
      <c r="AE633" s="350"/>
      <c r="AF633" s="350"/>
      <c r="AG633" s="350"/>
      <c r="AH633" s="350"/>
      <c r="AI633" s="350"/>
    </row>
    <row r="634" spans="24:35">
      <c r="X634" s="350"/>
      <c r="Y634" s="350"/>
      <c r="Z634" s="350"/>
      <c r="AA634" s="350"/>
      <c r="AB634" s="350"/>
      <c r="AC634" s="350"/>
      <c r="AD634" s="350"/>
      <c r="AE634" s="350"/>
      <c r="AF634" s="350"/>
      <c r="AG634" s="350"/>
      <c r="AH634" s="350"/>
      <c r="AI634" s="350"/>
    </row>
    <row r="635" spans="24:35">
      <c r="X635" s="350"/>
      <c r="Y635" s="350"/>
      <c r="Z635" s="350"/>
      <c r="AA635" s="350"/>
      <c r="AB635" s="350"/>
      <c r="AC635" s="350"/>
      <c r="AD635" s="350"/>
      <c r="AE635" s="350"/>
      <c r="AF635" s="350"/>
      <c r="AG635" s="350"/>
      <c r="AH635" s="350"/>
      <c r="AI635" s="350"/>
    </row>
    <row r="636" spans="24:35">
      <c r="X636" s="350"/>
      <c r="Y636" s="350"/>
      <c r="Z636" s="350"/>
      <c r="AA636" s="350"/>
      <c r="AB636" s="350"/>
      <c r="AC636" s="350"/>
      <c r="AD636" s="350"/>
      <c r="AE636" s="350"/>
      <c r="AF636" s="350"/>
      <c r="AG636" s="350"/>
      <c r="AH636" s="350"/>
      <c r="AI636" s="350"/>
    </row>
    <row r="637" spans="24:35">
      <c r="X637" s="350"/>
      <c r="Y637" s="350"/>
      <c r="Z637" s="350"/>
      <c r="AA637" s="350"/>
      <c r="AB637" s="350"/>
      <c r="AC637" s="350"/>
      <c r="AD637" s="350"/>
      <c r="AE637" s="350"/>
      <c r="AF637" s="350"/>
      <c r="AG637" s="350"/>
      <c r="AH637" s="350"/>
      <c r="AI637" s="350"/>
    </row>
    <row r="638" spans="24:35">
      <c r="X638" s="350"/>
      <c r="Y638" s="350"/>
      <c r="Z638" s="350"/>
      <c r="AA638" s="350"/>
      <c r="AB638" s="350"/>
      <c r="AC638" s="350"/>
      <c r="AD638" s="350"/>
      <c r="AE638" s="350"/>
      <c r="AF638" s="350"/>
      <c r="AG638" s="350"/>
      <c r="AH638" s="350"/>
      <c r="AI638" s="350"/>
    </row>
    <row r="639" spans="24:35">
      <c r="X639" s="350"/>
      <c r="Y639" s="350"/>
      <c r="Z639" s="350"/>
      <c r="AA639" s="350"/>
      <c r="AB639" s="350"/>
      <c r="AC639" s="350"/>
      <c r="AD639" s="350"/>
      <c r="AE639" s="350"/>
      <c r="AF639" s="350"/>
      <c r="AG639" s="350"/>
      <c r="AH639" s="350"/>
      <c r="AI639" s="350"/>
    </row>
    <row r="640" spans="24:35">
      <c r="X640" s="350"/>
      <c r="Y640" s="350"/>
      <c r="Z640" s="350"/>
      <c r="AA640" s="350"/>
      <c r="AB640" s="350"/>
      <c r="AC640" s="350"/>
      <c r="AD640" s="350"/>
      <c r="AE640" s="350"/>
      <c r="AF640" s="350"/>
      <c r="AG640" s="350"/>
      <c r="AH640" s="350"/>
      <c r="AI640" s="350"/>
    </row>
    <row r="641" spans="24:35">
      <c r="X641" s="350"/>
      <c r="Y641" s="350"/>
      <c r="Z641" s="350"/>
      <c r="AA641" s="350"/>
      <c r="AB641" s="350"/>
      <c r="AC641" s="350"/>
      <c r="AD641" s="350"/>
      <c r="AE641" s="350"/>
      <c r="AF641" s="350"/>
      <c r="AG641" s="350"/>
      <c r="AH641" s="350"/>
      <c r="AI641" s="350"/>
    </row>
    <row r="642" spans="24:35">
      <c r="X642" s="350"/>
      <c r="Y642" s="350"/>
      <c r="Z642" s="350"/>
      <c r="AA642" s="350"/>
      <c r="AB642" s="350"/>
      <c r="AC642" s="350"/>
      <c r="AD642" s="350"/>
      <c r="AE642" s="350"/>
      <c r="AF642" s="350"/>
      <c r="AG642" s="350"/>
      <c r="AH642" s="350"/>
      <c r="AI642" s="350"/>
    </row>
    <row r="643" spans="24:35">
      <c r="X643" s="350"/>
      <c r="Y643" s="350"/>
      <c r="Z643" s="350"/>
      <c r="AA643" s="350"/>
      <c r="AB643" s="350"/>
      <c r="AC643" s="350"/>
      <c r="AD643" s="350"/>
      <c r="AE643" s="350"/>
      <c r="AF643" s="350"/>
      <c r="AG643" s="350"/>
      <c r="AH643" s="350"/>
      <c r="AI643" s="350"/>
    </row>
    <row r="644" spans="24:35">
      <c r="X644" s="350"/>
      <c r="Y644" s="350"/>
      <c r="Z644" s="350"/>
      <c r="AA644" s="350"/>
      <c r="AB644" s="350"/>
      <c r="AC644" s="350"/>
      <c r="AD644" s="350"/>
      <c r="AE644" s="350"/>
      <c r="AF644" s="350"/>
      <c r="AG644" s="350"/>
      <c r="AH644" s="350"/>
      <c r="AI644" s="350"/>
    </row>
    <row r="645" spans="24:35">
      <c r="X645" s="350"/>
      <c r="Y645" s="350"/>
      <c r="Z645" s="350"/>
      <c r="AA645" s="350"/>
      <c r="AB645" s="350"/>
      <c r="AC645" s="350"/>
      <c r="AD645" s="350"/>
      <c r="AE645" s="350"/>
      <c r="AF645" s="350"/>
      <c r="AG645" s="350"/>
      <c r="AH645" s="350"/>
      <c r="AI645" s="350"/>
    </row>
    <row r="646" spans="24:35">
      <c r="X646" s="350"/>
      <c r="Y646" s="350"/>
      <c r="Z646" s="350"/>
      <c r="AA646" s="350"/>
      <c r="AB646" s="350"/>
      <c r="AC646" s="350"/>
      <c r="AD646" s="350"/>
      <c r="AE646" s="350"/>
      <c r="AF646" s="350"/>
      <c r="AG646" s="350"/>
      <c r="AH646" s="350"/>
      <c r="AI646" s="350"/>
    </row>
    <row r="647" spans="24:35">
      <c r="X647" s="350"/>
      <c r="Y647" s="350"/>
      <c r="Z647" s="350"/>
      <c r="AA647" s="350"/>
      <c r="AB647" s="350"/>
      <c r="AC647" s="350"/>
      <c r="AD647" s="350"/>
      <c r="AE647" s="350"/>
      <c r="AF647" s="350"/>
      <c r="AG647" s="350"/>
      <c r="AH647" s="350"/>
      <c r="AI647" s="350"/>
    </row>
    <row r="648" spans="24:35">
      <c r="X648" s="350"/>
      <c r="Y648" s="350"/>
      <c r="Z648" s="350"/>
      <c r="AA648" s="350"/>
      <c r="AB648" s="350"/>
      <c r="AC648" s="350"/>
      <c r="AD648" s="350"/>
      <c r="AE648" s="350"/>
      <c r="AF648" s="350"/>
      <c r="AG648" s="350"/>
      <c r="AH648" s="350"/>
      <c r="AI648" s="350"/>
    </row>
    <row r="649" spans="24:35">
      <c r="X649" s="350"/>
      <c r="Y649" s="350"/>
      <c r="Z649" s="350"/>
      <c r="AA649" s="350"/>
      <c r="AB649" s="350"/>
      <c r="AC649" s="350"/>
      <c r="AD649" s="350"/>
      <c r="AE649" s="350"/>
      <c r="AF649" s="350"/>
      <c r="AG649" s="350"/>
      <c r="AH649" s="350"/>
      <c r="AI649" s="350"/>
    </row>
    <row r="650" spans="24:35">
      <c r="X650" s="350"/>
      <c r="Y650" s="350"/>
      <c r="Z650" s="350"/>
      <c r="AA650" s="350"/>
      <c r="AB650" s="350"/>
      <c r="AC650" s="350"/>
      <c r="AD650" s="350"/>
      <c r="AE650" s="350"/>
      <c r="AF650" s="350"/>
      <c r="AG650" s="350"/>
      <c r="AH650" s="350"/>
      <c r="AI650" s="350"/>
    </row>
    <row r="651" spans="24:35">
      <c r="X651" s="350"/>
      <c r="Y651" s="350"/>
      <c r="Z651" s="350"/>
      <c r="AA651" s="350"/>
      <c r="AB651" s="350"/>
      <c r="AC651" s="350"/>
      <c r="AD651" s="350"/>
      <c r="AE651" s="350"/>
      <c r="AF651" s="350"/>
      <c r="AG651" s="350"/>
      <c r="AH651" s="350"/>
      <c r="AI651" s="350"/>
    </row>
    <row r="652" spans="24:35">
      <c r="X652" s="350"/>
      <c r="Y652" s="350"/>
      <c r="Z652" s="350"/>
      <c r="AA652" s="350"/>
      <c r="AB652" s="350"/>
      <c r="AC652" s="350"/>
      <c r="AD652" s="350"/>
      <c r="AE652" s="350"/>
      <c r="AF652" s="350"/>
      <c r="AG652" s="350"/>
      <c r="AH652" s="350"/>
      <c r="AI652" s="350"/>
    </row>
    <row r="653" spans="24:35">
      <c r="X653" s="350"/>
      <c r="Y653" s="350"/>
      <c r="Z653" s="350"/>
      <c r="AA653" s="350"/>
      <c r="AB653" s="350"/>
      <c r="AC653" s="350"/>
      <c r="AD653" s="350"/>
      <c r="AE653" s="350"/>
      <c r="AF653" s="350"/>
      <c r="AG653" s="350"/>
      <c r="AH653" s="350"/>
      <c r="AI653" s="350"/>
    </row>
    <row r="654" spans="24:35">
      <c r="X654" s="350"/>
      <c r="Y654" s="350"/>
      <c r="Z654" s="350"/>
      <c r="AA654" s="350"/>
      <c r="AB654" s="350"/>
      <c r="AC654" s="350"/>
      <c r="AD654" s="350"/>
      <c r="AE654" s="350"/>
      <c r="AF654" s="350"/>
      <c r="AG654" s="350"/>
      <c r="AH654" s="350"/>
      <c r="AI654" s="350"/>
    </row>
    <row r="655" spans="24:35">
      <c r="X655" s="350"/>
      <c r="Y655" s="350"/>
      <c r="Z655" s="350"/>
      <c r="AA655" s="350"/>
      <c r="AB655" s="350"/>
      <c r="AC655" s="350"/>
      <c r="AD655" s="350"/>
      <c r="AE655" s="350"/>
      <c r="AF655" s="350"/>
      <c r="AG655" s="350"/>
      <c r="AH655" s="350"/>
      <c r="AI655" s="350"/>
    </row>
    <row r="656" spans="24:35">
      <c r="X656" s="350"/>
      <c r="Y656" s="350"/>
      <c r="Z656" s="350"/>
      <c r="AA656" s="350"/>
      <c r="AB656" s="350"/>
      <c r="AC656" s="350"/>
      <c r="AD656" s="350"/>
      <c r="AE656" s="350"/>
      <c r="AF656" s="350"/>
      <c r="AG656" s="350"/>
      <c r="AH656" s="350"/>
      <c r="AI656" s="350"/>
    </row>
    <row r="657" spans="24:35">
      <c r="X657" s="350"/>
      <c r="Y657" s="350"/>
      <c r="Z657" s="350"/>
      <c r="AA657" s="350"/>
      <c r="AB657" s="350"/>
      <c r="AC657" s="350"/>
      <c r="AD657" s="350"/>
      <c r="AE657" s="350"/>
      <c r="AF657" s="350"/>
      <c r="AG657" s="350"/>
      <c r="AH657" s="350"/>
      <c r="AI657" s="350"/>
    </row>
    <row r="658" spans="24:35">
      <c r="X658" s="350"/>
      <c r="Y658" s="350"/>
      <c r="Z658" s="350"/>
      <c r="AA658" s="350"/>
      <c r="AB658" s="350"/>
      <c r="AC658" s="350"/>
      <c r="AD658" s="350"/>
      <c r="AE658" s="350"/>
      <c r="AF658" s="350"/>
      <c r="AG658" s="350"/>
      <c r="AH658" s="350"/>
      <c r="AI658" s="350"/>
    </row>
    <row r="659" spans="24:35">
      <c r="X659" s="350"/>
      <c r="Y659" s="350"/>
      <c r="Z659" s="350"/>
      <c r="AA659" s="350"/>
      <c r="AB659" s="350"/>
      <c r="AC659" s="350"/>
      <c r="AD659" s="350"/>
      <c r="AE659" s="350"/>
      <c r="AF659" s="350"/>
      <c r="AG659" s="350"/>
      <c r="AH659" s="350"/>
      <c r="AI659" s="350"/>
    </row>
    <row r="660" spans="24:35">
      <c r="X660" s="350"/>
      <c r="Y660" s="350"/>
      <c r="Z660" s="350"/>
      <c r="AA660" s="350"/>
      <c r="AB660" s="350"/>
      <c r="AC660" s="350"/>
      <c r="AD660" s="350"/>
      <c r="AE660" s="350"/>
      <c r="AF660" s="350"/>
      <c r="AG660" s="350"/>
      <c r="AH660" s="350"/>
      <c r="AI660" s="350"/>
    </row>
    <row r="661" spans="24:35">
      <c r="X661" s="350"/>
      <c r="Y661" s="350"/>
      <c r="Z661" s="350"/>
      <c r="AA661" s="350"/>
      <c r="AB661" s="350"/>
      <c r="AC661" s="350"/>
      <c r="AD661" s="350"/>
      <c r="AE661" s="350"/>
      <c r="AF661" s="350"/>
      <c r="AG661" s="350"/>
      <c r="AH661" s="350"/>
      <c r="AI661" s="350"/>
    </row>
    <row r="662" spans="24:35">
      <c r="X662" s="350"/>
      <c r="Y662" s="350"/>
      <c r="Z662" s="350"/>
      <c r="AA662" s="350"/>
      <c r="AB662" s="350"/>
      <c r="AC662" s="350"/>
      <c r="AD662" s="350"/>
      <c r="AE662" s="350"/>
      <c r="AF662" s="350"/>
      <c r="AG662" s="350"/>
      <c r="AH662" s="350"/>
      <c r="AI662" s="350"/>
    </row>
    <row r="663" spans="24:35">
      <c r="X663" s="350"/>
      <c r="Y663" s="350"/>
      <c r="Z663" s="350"/>
      <c r="AA663" s="350"/>
      <c r="AB663" s="350"/>
      <c r="AC663" s="350"/>
      <c r="AD663" s="350"/>
      <c r="AE663" s="350"/>
      <c r="AF663" s="350"/>
      <c r="AG663" s="350"/>
      <c r="AH663" s="350"/>
      <c r="AI663" s="350"/>
    </row>
    <row r="664" spans="24:35">
      <c r="X664" s="350"/>
      <c r="Y664" s="350"/>
      <c r="Z664" s="350"/>
      <c r="AA664" s="350"/>
      <c r="AB664" s="350"/>
      <c r="AC664" s="350"/>
      <c r="AD664" s="350"/>
      <c r="AE664" s="350"/>
      <c r="AF664" s="350"/>
      <c r="AG664" s="350"/>
      <c r="AH664" s="350"/>
      <c r="AI664" s="350"/>
    </row>
    <row r="665" spans="24:35">
      <c r="X665" s="350"/>
      <c r="Y665" s="350"/>
      <c r="Z665" s="350"/>
      <c r="AA665" s="350"/>
      <c r="AB665" s="350"/>
      <c r="AC665" s="350"/>
      <c r="AD665" s="350"/>
      <c r="AE665" s="350"/>
      <c r="AF665" s="350"/>
      <c r="AG665" s="350"/>
      <c r="AH665" s="350"/>
      <c r="AI665" s="350"/>
    </row>
    <row r="666" spans="24:35">
      <c r="X666" s="350"/>
      <c r="Y666" s="350"/>
      <c r="Z666" s="350"/>
      <c r="AA666" s="350"/>
      <c r="AB666" s="350"/>
      <c r="AC666" s="350"/>
      <c r="AD666" s="350"/>
      <c r="AE666" s="350"/>
      <c r="AF666" s="350"/>
      <c r="AG666" s="350"/>
      <c r="AH666" s="350"/>
      <c r="AI666" s="350"/>
    </row>
    <row r="667" spans="24:35">
      <c r="X667" s="350"/>
      <c r="Y667" s="350"/>
      <c r="Z667" s="350"/>
      <c r="AA667" s="350"/>
      <c r="AB667" s="350"/>
      <c r="AC667" s="350"/>
      <c r="AD667" s="350"/>
      <c r="AE667" s="350"/>
      <c r="AF667" s="350"/>
      <c r="AG667" s="350"/>
      <c r="AH667" s="350"/>
      <c r="AI667" s="350"/>
    </row>
    <row r="668" spans="24:35">
      <c r="X668" s="350"/>
      <c r="Y668" s="350"/>
      <c r="Z668" s="350"/>
      <c r="AA668" s="350"/>
      <c r="AB668" s="350"/>
      <c r="AC668" s="350"/>
      <c r="AD668" s="350"/>
      <c r="AE668" s="350"/>
      <c r="AF668" s="350"/>
      <c r="AG668" s="350"/>
      <c r="AH668" s="350"/>
      <c r="AI668" s="350"/>
    </row>
    <row r="669" spans="24:35">
      <c r="X669" s="350"/>
      <c r="Y669" s="350"/>
      <c r="Z669" s="350"/>
      <c r="AA669" s="350"/>
      <c r="AB669" s="350"/>
      <c r="AC669" s="350"/>
      <c r="AD669" s="350"/>
      <c r="AE669" s="350"/>
      <c r="AF669" s="350"/>
      <c r="AG669" s="350"/>
      <c r="AH669" s="350"/>
      <c r="AI669" s="350"/>
    </row>
    <row r="670" spans="24:35">
      <c r="X670" s="350"/>
      <c r="Y670" s="350"/>
      <c r="Z670" s="350"/>
      <c r="AA670" s="350"/>
      <c r="AB670" s="350"/>
      <c r="AC670" s="350"/>
      <c r="AD670" s="350"/>
      <c r="AE670" s="350"/>
      <c r="AF670" s="350"/>
      <c r="AG670" s="350"/>
      <c r="AH670" s="350"/>
      <c r="AI670" s="350"/>
    </row>
    <row r="671" spans="24:35">
      <c r="X671" s="350"/>
      <c r="Y671" s="350"/>
      <c r="Z671" s="350"/>
      <c r="AA671" s="350"/>
      <c r="AB671" s="350"/>
      <c r="AC671" s="350"/>
      <c r="AD671" s="350"/>
      <c r="AE671" s="350"/>
      <c r="AF671" s="350"/>
      <c r="AG671" s="350"/>
      <c r="AH671" s="350"/>
      <c r="AI671" s="350"/>
    </row>
    <row r="672" spans="24:35">
      <c r="X672" s="350"/>
      <c r="Y672" s="350"/>
      <c r="Z672" s="350"/>
      <c r="AA672" s="350"/>
      <c r="AB672" s="350"/>
      <c r="AC672" s="350"/>
      <c r="AD672" s="350"/>
      <c r="AE672" s="350"/>
      <c r="AF672" s="350"/>
      <c r="AG672" s="350"/>
      <c r="AH672" s="350"/>
      <c r="AI672" s="350"/>
    </row>
    <row r="673" spans="24:35">
      <c r="X673" s="350"/>
      <c r="Y673" s="350"/>
      <c r="Z673" s="350"/>
      <c r="AA673" s="350"/>
      <c r="AB673" s="350"/>
      <c r="AC673" s="350"/>
      <c r="AD673" s="350"/>
      <c r="AE673" s="350"/>
      <c r="AF673" s="350"/>
      <c r="AG673" s="350"/>
      <c r="AH673" s="350"/>
      <c r="AI673" s="350"/>
    </row>
    <row r="674" spans="24:35">
      <c r="X674" s="350"/>
      <c r="Y674" s="350"/>
      <c r="Z674" s="350"/>
      <c r="AA674" s="350"/>
      <c r="AB674" s="350"/>
      <c r="AC674" s="350"/>
      <c r="AD674" s="350"/>
      <c r="AE674" s="350"/>
      <c r="AF674" s="350"/>
      <c r="AG674" s="350"/>
      <c r="AH674" s="350"/>
      <c r="AI674" s="350"/>
    </row>
    <row r="675" spans="24:35">
      <c r="X675" s="350"/>
      <c r="Y675" s="350"/>
      <c r="Z675" s="350"/>
      <c r="AA675" s="350"/>
      <c r="AB675" s="350"/>
      <c r="AC675" s="350"/>
      <c r="AD675" s="350"/>
      <c r="AE675" s="350"/>
      <c r="AF675" s="350"/>
      <c r="AG675" s="350"/>
      <c r="AH675" s="350"/>
      <c r="AI675" s="350"/>
    </row>
    <row r="676" spans="24:35">
      <c r="X676" s="350"/>
      <c r="Y676" s="350"/>
      <c r="Z676" s="350"/>
      <c r="AA676" s="350"/>
      <c r="AB676" s="350"/>
      <c r="AC676" s="350"/>
      <c r="AD676" s="350"/>
      <c r="AE676" s="350"/>
      <c r="AF676" s="350"/>
      <c r="AG676" s="350"/>
      <c r="AH676" s="350"/>
      <c r="AI676" s="350"/>
    </row>
    <row r="677" spans="24:35">
      <c r="X677" s="350"/>
      <c r="Y677" s="350"/>
      <c r="Z677" s="350"/>
      <c r="AA677" s="350"/>
      <c r="AB677" s="350"/>
      <c r="AC677" s="350"/>
      <c r="AD677" s="350"/>
      <c r="AE677" s="350"/>
      <c r="AF677" s="350"/>
      <c r="AG677" s="350"/>
      <c r="AH677" s="350"/>
      <c r="AI677" s="350"/>
    </row>
    <row r="678" spans="24:35">
      <c r="X678" s="350"/>
      <c r="Y678" s="350"/>
      <c r="Z678" s="350"/>
      <c r="AA678" s="350"/>
      <c r="AB678" s="350"/>
      <c r="AC678" s="350"/>
      <c r="AD678" s="350"/>
      <c r="AE678" s="350"/>
      <c r="AF678" s="350"/>
      <c r="AG678" s="350"/>
      <c r="AH678" s="350"/>
      <c r="AI678" s="350"/>
    </row>
    <row r="679" spans="24:35">
      <c r="X679" s="350"/>
      <c r="Y679" s="350"/>
      <c r="Z679" s="350"/>
      <c r="AA679" s="350"/>
      <c r="AB679" s="350"/>
      <c r="AC679" s="350"/>
      <c r="AD679" s="350"/>
      <c r="AE679" s="350"/>
      <c r="AF679" s="350"/>
      <c r="AG679" s="350"/>
      <c r="AH679" s="350"/>
      <c r="AI679" s="350"/>
    </row>
    <row r="680" spans="24:35">
      <c r="X680" s="350"/>
      <c r="Y680" s="350"/>
      <c r="Z680" s="350"/>
      <c r="AA680" s="350"/>
      <c r="AB680" s="350"/>
      <c r="AC680" s="350"/>
      <c r="AD680" s="350"/>
      <c r="AE680" s="350"/>
      <c r="AF680" s="350"/>
      <c r="AG680" s="350"/>
      <c r="AH680" s="350"/>
      <c r="AI680" s="350"/>
    </row>
    <row r="681" spans="24:35">
      <c r="X681" s="350"/>
      <c r="Y681" s="350"/>
      <c r="Z681" s="350"/>
      <c r="AA681" s="350"/>
      <c r="AB681" s="350"/>
      <c r="AC681" s="350"/>
      <c r="AD681" s="350"/>
      <c r="AE681" s="350"/>
      <c r="AF681" s="350"/>
      <c r="AG681" s="350"/>
      <c r="AH681" s="350"/>
      <c r="AI681" s="350"/>
    </row>
    <row r="682" spans="24:35">
      <c r="X682" s="350"/>
      <c r="Y682" s="350"/>
      <c r="Z682" s="350"/>
      <c r="AA682" s="350"/>
      <c r="AB682" s="350"/>
      <c r="AC682" s="350"/>
      <c r="AD682" s="350"/>
      <c r="AE682" s="350"/>
      <c r="AF682" s="350"/>
      <c r="AG682" s="350"/>
      <c r="AH682" s="350"/>
      <c r="AI682" s="350"/>
    </row>
    <row r="683" spans="24:35">
      <c r="X683" s="350"/>
      <c r="Y683" s="350"/>
      <c r="Z683" s="350"/>
      <c r="AA683" s="350"/>
      <c r="AB683" s="350"/>
      <c r="AC683" s="350"/>
      <c r="AD683" s="350"/>
      <c r="AE683" s="350"/>
      <c r="AF683" s="350"/>
      <c r="AG683" s="350"/>
      <c r="AH683" s="350"/>
      <c r="AI683" s="350"/>
    </row>
    <row r="684" spans="24:35">
      <c r="X684" s="350"/>
      <c r="Y684" s="350"/>
      <c r="Z684" s="350"/>
      <c r="AA684" s="350"/>
      <c r="AB684" s="350"/>
      <c r="AC684" s="350"/>
      <c r="AD684" s="350"/>
      <c r="AE684" s="350"/>
      <c r="AF684" s="350"/>
      <c r="AG684" s="350"/>
      <c r="AH684" s="350"/>
      <c r="AI684" s="350"/>
    </row>
    <row r="685" spans="24:35">
      <c r="X685" s="350"/>
      <c r="Y685" s="350"/>
      <c r="Z685" s="350"/>
      <c r="AA685" s="350"/>
      <c r="AB685" s="350"/>
      <c r="AC685" s="350"/>
      <c r="AD685" s="350"/>
      <c r="AE685" s="350"/>
      <c r="AF685" s="350"/>
      <c r="AG685" s="350"/>
      <c r="AH685" s="350"/>
      <c r="AI685" s="350"/>
    </row>
    <row r="686" spans="24:35">
      <c r="X686" s="350"/>
      <c r="Y686" s="350"/>
      <c r="Z686" s="350"/>
      <c r="AA686" s="350"/>
      <c r="AB686" s="350"/>
      <c r="AC686" s="350"/>
      <c r="AD686" s="350"/>
      <c r="AE686" s="350"/>
      <c r="AF686" s="350"/>
      <c r="AG686" s="350"/>
      <c r="AH686" s="350"/>
      <c r="AI686" s="350"/>
    </row>
    <row r="687" spans="24:35">
      <c r="X687" s="350"/>
      <c r="Y687" s="350"/>
      <c r="Z687" s="350"/>
      <c r="AA687" s="350"/>
      <c r="AB687" s="350"/>
      <c r="AC687" s="350"/>
      <c r="AD687" s="350"/>
      <c r="AE687" s="350"/>
      <c r="AF687" s="350"/>
      <c r="AG687" s="350"/>
      <c r="AH687" s="350"/>
      <c r="AI687" s="350"/>
    </row>
    <row r="688" spans="24:35">
      <c r="X688" s="350"/>
      <c r="Y688" s="350"/>
      <c r="Z688" s="350"/>
      <c r="AA688" s="350"/>
      <c r="AB688" s="350"/>
      <c r="AC688" s="350"/>
      <c r="AD688" s="350"/>
      <c r="AE688" s="350"/>
      <c r="AF688" s="350"/>
      <c r="AG688" s="350"/>
      <c r="AH688" s="350"/>
      <c r="AI688" s="350"/>
    </row>
    <row r="689" spans="24:35">
      <c r="X689" s="350"/>
      <c r="Y689" s="350"/>
      <c r="Z689" s="350"/>
      <c r="AA689" s="350"/>
      <c r="AB689" s="350"/>
      <c r="AC689" s="350"/>
      <c r="AD689" s="350"/>
      <c r="AE689" s="350"/>
      <c r="AF689" s="350"/>
      <c r="AG689" s="350"/>
      <c r="AH689" s="350"/>
      <c r="AI689" s="350"/>
    </row>
    <row r="690" spans="24:35">
      <c r="X690" s="350"/>
      <c r="Y690" s="350"/>
      <c r="Z690" s="350"/>
      <c r="AA690" s="350"/>
      <c r="AB690" s="350"/>
      <c r="AC690" s="350"/>
      <c r="AD690" s="350"/>
      <c r="AE690" s="350"/>
      <c r="AF690" s="350"/>
      <c r="AG690" s="350"/>
      <c r="AH690" s="350"/>
      <c r="AI690" s="350"/>
    </row>
    <row r="691" spans="24:35">
      <c r="X691" s="350"/>
      <c r="Y691" s="350"/>
      <c r="Z691" s="350"/>
      <c r="AA691" s="350"/>
      <c r="AB691" s="350"/>
      <c r="AC691" s="350"/>
      <c r="AD691" s="350"/>
      <c r="AE691" s="350"/>
      <c r="AF691" s="350"/>
      <c r="AG691" s="350"/>
      <c r="AH691" s="350"/>
      <c r="AI691" s="350"/>
    </row>
    <row r="692" spans="24:35">
      <c r="X692" s="350"/>
      <c r="Y692" s="350"/>
      <c r="Z692" s="350"/>
      <c r="AA692" s="350"/>
      <c r="AB692" s="350"/>
      <c r="AC692" s="350"/>
      <c r="AD692" s="350"/>
      <c r="AE692" s="350"/>
      <c r="AF692" s="350"/>
      <c r="AG692" s="350"/>
      <c r="AH692" s="350"/>
      <c r="AI692" s="350"/>
    </row>
    <row r="693" spans="24:35">
      <c r="X693" s="350"/>
      <c r="Y693" s="350"/>
      <c r="Z693" s="350"/>
      <c r="AA693" s="350"/>
      <c r="AB693" s="350"/>
      <c r="AC693" s="350"/>
      <c r="AD693" s="350"/>
      <c r="AE693" s="350"/>
      <c r="AF693" s="350"/>
      <c r="AG693" s="350"/>
      <c r="AH693" s="350"/>
      <c r="AI693" s="350"/>
    </row>
    <row r="694" spans="24:35">
      <c r="X694" s="350"/>
      <c r="Y694" s="350"/>
      <c r="Z694" s="350"/>
      <c r="AA694" s="350"/>
      <c r="AB694" s="350"/>
      <c r="AC694" s="350"/>
      <c r="AD694" s="350"/>
      <c r="AE694" s="350"/>
      <c r="AF694" s="350"/>
      <c r="AG694" s="350"/>
      <c r="AH694" s="350"/>
      <c r="AI694" s="350"/>
    </row>
    <row r="695" spans="24:35">
      <c r="X695" s="350"/>
      <c r="Y695" s="350"/>
      <c r="Z695" s="350"/>
      <c r="AA695" s="350"/>
      <c r="AB695" s="350"/>
      <c r="AC695" s="350"/>
      <c r="AD695" s="350"/>
      <c r="AE695" s="350"/>
      <c r="AF695" s="350"/>
      <c r="AG695" s="350"/>
      <c r="AH695" s="350"/>
      <c r="AI695" s="350"/>
    </row>
    <row r="696" spans="24:35">
      <c r="X696" s="350"/>
      <c r="Y696" s="350"/>
      <c r="Z696" s="350"/>
      <c r="AA696" s="350"/>
      <c r="AB696" s="350"/>
      <c r="AC696" s="350"/>
      <c r="AD696" s="350"/>
      <c r="AE696" s="350"/>
      <c r="AF696" s="350"/>
      <c r="AG696" s="350"/>
      <c r="AH696" s="350"/>
      <c r="AI696" s="350"/>
    </row>
    <row r="697" spans="24:35">
      <c r="X697" s="350"/>
      <c r="Y697" s="350"/>
      <c r="Z697" s="350"/>
      <c r="AA697" s="350"/>
      <c r="AB697" s="350"/>
      <c r="AC697" s="350"/>
      <c r="AD697" s="350"/>
      <c r="AE697" s="350"/>
      <c r="AF697" s="350"/>
      <c r="AG697" s="350"/>
      <c r="AH697" s="350"/>
      <c r="AI697" s="350"/>
    </row>
    <row r="698" spans="24:35">
      <c r="X698" s="350"/>
      <c r="Y698" s="350"/>
      <c r="Z698" s="350"/>
      <c r="AA698" s="350"/>
      <c r="AB698" s="350"/>
      <c r="AC698" s="350"/>
      <c r="AD698" s="350"/>
      <c r="AE698" s="350"/>
      <c r="AF698" s="350"/>
      <c r="AG698" s="350"/>
      <c r="AH698" s="350"/>
      <c r="AI698" s="350"/>
    </row>
    <row r="699" spans="24:35">
      <c r="X699" s="350"/>
      <c r="Y699" s="350"/>
      <c r="Z699" s="350"/>
      <c r="AA699" s="350"/>
      <c r="AB699" s="350"/>
      <c r="AC699" s="350"/>
      <c r="AD699" s="350"/>
      <c r="AE699" s="350"/>
      <c r="AF699" s="350"/>
      <c r="AG699" s="350"/>
      <c r="AH699" s="350"/>
      <c r="AI699" s="350"/>
    </row>
    <row r="700" spans="24:35">
      <c r="X700" s="350"/>
      <c r="Y700" s="350"/>
      <c r="Z700" s="350"/>
      <c r="AA700" s="350"/>
      <c r="AB700" s="350"/>
      <c r="AC700" s="350"/>
      <c r="AD700" s="350"/>
      <c r="AE700" s="350"/>
      <c r="AF700" s="350"/>
      <c r="AG700" s="350"/>
      <c r="AH700" s="350"/>
      <c r="AI700" s="350"/>
    </row>
    <row r="701" spans="24:35">
      <c r="X701" s="350"/>
      <c r="Y701" s="350"/>
      <c r="Z701" s="350"/>
      <c r="AA701" s="350"/>
      <c r="AB701" s="350"/>
      <c r="AC701" s="350"/>
      <c r="AD701" s="350"/>
      <c r="AE701" s="350"/>
      <c r="AF701" s="350"/>
      <c r="AG701" s="350"/>
      <c r="AH701" s="350"/>
      <c r="AI701" s="350"/>
    </row>
    <row r="702" spans="24:35">
      <c r="X702" s="350"/>
      <c r="Y702" s="350"/>
      <c r="Z702" s="350"/>
      <c r="AA702" s="350"/>
      <c r="AB702" s="350"/>
      <c r="AC702" s="350"/>
      <c r="AD702" s="350"/>
      <c r="AE702" s="350"/>
      <c r="AF702" s="350"/>
      <c r="AG702" s="350"/>
      <c r="AH702" s="350"/>
      <c r="AI702" s="350"/>
    </row>
    <row r="703" spans="24:35">
      <c r="X703" s="350"/>
      <c r="Y703" s="350"/>
      <c r="Z703" s="350"/>
      <c r="AA703" s="350"/>
      <c r="AB703" s="350"/>
      <c r="AC703" s="350"/>
      <c r="AD703" s="350"/>
      <c r="AE703" s="350"/>
      <c r="AF703" s="350"/>
      <c r="AG703" s="350"/>
      <c r="AH703" s="350"/>
      <c r="AI703" s="350"/>
    </row>
    <row r="704" spans="24:35">
      <c r="X704" s="350"/>
      <c r="Y704" s="350"/>
      <c r="Z704" s="350"/>
      <c r="AA704" s="350"/>
      <c r="AB704" s="350"/>
      <c r="AC704" s="350"/>
      <c r="AD704" s="350"/>
      <c r="AE704" s="350"/>
      <c r="AF704" s="350"/>
      <c r="AG704" s="350"/>
      <c r="AH704" s="350"/>
      <c r="AI704" s="350"/>
    </row>
    <row r="705" spans="24:35">
      <c r="X705" s="350"/>
      <c r="Y705" s="350"/>
      <c r="Z705" s="350"/>
      <c r="AA705" s="350"/>
      <c r="AB705" s="350"/>
      <c r="AC705" s="350"/>
      <c r="AD705" s="350"/>
      <c r="AE705" s="350"/>
      <c r="AF705" s="350"/>
      <c r="AG705" s="350"/>
      <c r="AH705" s="350"/>
      <c r="AI705" s="350"/>
    </row>
    <row r="706" spans="24:35">
      <c r="X706" s="350"/>
      <c r="Y706" s="350"/>
      <c r="Z706" s="350"/>
      <c r="AA706" s="350"/>
      <c r="AB706" s="350"/>
      <c r="AC706" s="350"/>
      <c r="AD706" s="350"/>
      <c r="AE706" s="350"/>
      <c r="AF706" s="350"/>
      <c r="AG706" s="350"/>
      <c r="AH706" s="350"/>
      <c r="AI706" s="350"/>
    </row>
    <row r="707" spans="24:35">
      <c r="X707" s="350"/>
      <c r="Y707" s="350"/>
      <c r="Z707" s="350"/>
      <c r="AA707" s="350"/>
      <c r="AB707" s="350"/>
      <c r="AC707" s="350"/>
      <c r="AD707" s="350"/>
      <c r="AE707" s="350"/>
      <c r="AF707" s="350"/>
      <c r="AG707" s="350"/>
      <c r="AH707" s="350"/>
      <c r="AI707" s="350"/>
    </row>
    <row r="708" spans="24:35">
      <c r="X708" s="350"/>
      <c r="Y708" s="350"/>
      <c r="Z708" s="350"/>
      <c r="AA708" s="350"/>
      <c r="AB708" s="350"/>
      <c r="AC708" s="350"/>
      <c r="AD708" s="350"/>
      <c r="AE708" s="350"/>
      <c r="AF708" s="350"/>
      <c r="AG708" s="350"/>
      <c r="AH708" s="350"/>
      <c r="AI708" s="350"/>
    </row>
    <row r="709" spans="24:35">
      <c r="X709" s="350"/>
      <c r="Y709" s="350"/>
      <c r="Z709" s="350"/>
      <c r="AA709" s="350"/>
      <c r="AB709" s="350"/>
      <c r="AC709" s="350"/>
      <c r="AD709" s="350"/>
      <c r="AE709" s="350"/>
      <c r="AF709" s="350"/>
      <c r="AG709" s="350"/>
      <c r="AH709" s="350"/>
      <c r="AI709" s="350"/>
    </row>
    <row r="710" spans="24:35">
      <c r="X710" s="350"/>
      <c r="Y710" s="350"/>
      <c r="Z710" s="350"/>
      <c r="AA710" s="350"/>
      <c r="AB710" s="350"/>
      <c r="AC710" s="350"/>
      <c r="AD710" s="350"/>
      <c r="AE710" s="350"/>
      <c r="AF710" s="350"/>
      <c r="AG710" s="350"/>
      <c r="AH710" s="350"/>
      <c r="AI710" s="350"/>
    </row>
    <row r="711" spans="24:35">
      <c r="X711" s="350"/>
      <c r="Y711" s="350"/>
      <c r="Z711" s="350"/>
      <c r="AA711" s="350"/>
      <c r="AB711" s="350"/>
      <c r="AC711" s="350"/>
      <c r="AD711" s="350"/>
      <c r="AE711" s="350"/>
      <c r="AF711" s="350"/>
      <c r="AG711" s="350"/>
      <c r="AH711" s="350"/>
      <c r="AI711" s="350"/>
    </row>
    <row r="712" spans="24:35">
      <c r="X712" s="350"/>
      <c r="Y712" s="350"/>
      <c r="Z712" s="350"/>
      <c r="AA712" s="350"/>
      <c r="AB712" s="350"/>
      <c r="AC712" s="350"/>
      <c r="AD712" s="350"/>
      <c r="AE712" s="350"/>
      <c r="AF712" s="350"/>
      <c r="AG712" s="350"/>
      <c r="AH712" s="350"/>
      <c r="AI712" s="350"/>
    </row>
    <row r="713" spans="24:35">
      <c r="X713" s="350"/>
      <c r="Y713" s="350"/>
      <c r="Z713" s="350"/>
      <c r="AA713" s="350"/>
      <c r="AB713" s="350"/>
      <c r="AC713" s="350"/>
      <c r="AD713" s="350"/>
      <c r="AE713" s="350"/>
      <c r="AF713" s="350"/>
      <c r="AG713" s="350"/>
      <c r="AH713" s="350"/>
      <c r="AI713" s="350"/>
    </row>
    <row r="714" spans="24:35">
      <c r="X714" s="350"/>
      <c r="Y714" s="350"/>
      <c r="Z714" s="350"/>
      <c r="AA714" s="350"/>
      <c r="AB714" s="350"/>
      <c r="AC714" s="350"/>
      <c r="AD714" s="350"/>
      <c r="AE714" s="350"/>
      <c r="AF714" s="350"/>
      <c r="AG714" s="350"/>
      <c r="AH714" s="350"/>
      <c r="AI714" s="350"/>
    </row>
    <row r="715" spans="24:35">
      <c r="X715" s="350"/>
      <c r="Y715" s="350"/>
      <c r="Z715" s="350"/>
      <c r="AA715" s="350"/>
      <c r="AB715" s="350"/>
      <c r="AC715" s="350"/>
      <c r="AD715" s="350"/>
      <c r="AE715" s="350"/>
      <c r="AF715" s="350"/>
      <c r="AG715" s="350"/>
      <c r="AH715" s="350"/>
      <c r="AI715" s="350"/>
    </row>
    <row r="716" spans="24:35">
      <c r="X716" s="350"/>
      <c r="Y716" s="350"/>
      <c r="Z716" s="350"/>
      <c r="AA716" s="350"/>
      <c r="AB716" s="350"/>
      <c r="AC716" s="350"/>
      <c r="AD716" s="350"/>
      <c r="AE716" s="350"/>
      <c r="AF716" s="350"/>
      <c r="AG716" s="350"/>
      <c r="AH716" s="350"/>
      <c r="AI716" s="350"/>
    </row>
    <row r="717" spans="24:35">
      <c r="X717" s="350"/>
      <c r="Y717" s="350"/>
      <c r="Z717" s="350"/>
      <c r="AA717" s="350"/>
      <c r="AB717" s="350"/>
      <c r="AC717" s="350"/>
      <c r="AD717" s="350"/>
      <c r="AE717" s="350"/>
      <c r="AF717" s="350"/>
      <c r="AG717" s="350"/>
      <c r="AH717" s="350"/>
      <c r="AI717" s="350"/>
    </row>
    <row r="718" spans="24:35">
      <c r="X718" s="350"/>
      <c r="Y718" s="350"/>
      <c r="Z718" s="350"/>
      <c r="AA718" s="350"/>
      <c r="AB718" s="350"/>
      <c r="AC718" s="350"/>
      <c r="AD718" s="350"/>
      <c r="AE718" s="350"/>
      <c r="AF718" s="350"/>
      <c r="AG718" s="350"/>
      <c r="AH718" s="350"/>
      <c r="AI718" s="350"/>
    </row>
    <row r="719" spans="24:35">
      <c r="X719" s="350"/>
      <c r="Y719" s="350"/>
      <c r="Z719" s="350"/>
      <c r="AA719" s="350"/>
      <c r="AB719" s="350"/>
      <c r="AC719" s="350"/>
      <c r="AD719" s="350"/>
      <c r="AE719" s="350"/>
      <c r="AF719" s="350"/>
      <c r="AG719" s="350"/>
      <c r="AH719" s="350"/>
      <c r="AI719" s="350"/>
    </row>
    <row r="720" spans="24:35">
      <c r="X720" s="350"/>
      <c r="Y720" s="350"/>
      <c r="Z720" s="350"/>
      <c r="AA720" s="350"/>
      <c r="AB720" s="350"/>
      <c r="AC720" s="350"/>
      <c r="AD720" s="350"/>
      <c r="AE720" s="350"/>
      <c r="AF720" s="350"/>
      <c r="AG720" s="350"/>
      <c r="AH720" s="350"/>
      <c r="AI720" s="350"/>
    </row>
    <row r="721" spans="24:35">
      <c r="X721" s="350"/>
      <c r="Y721" s="350"/>
      <c r="Z721" s="350"/>
      <c r="AA721" s="350"/>
      <c r="AB721" s="350"/>
      <c r="AC721" s="350"/>
      <c r="AD721" s="350"/>
      <c r="AE721" s="350"/>
      <c r="AF721" s="350"/>
      <c r="AG721" s="350"/>
      <c r="AH721" s="350"/>
      <c r="AI721" s="350"/>
    </row>
    <row r="722" spans="24:35">
      <c r="X722" s="350"/>
      <c r="Y722" s="350"/>
      <c r="Z722" s="350"/>
      <c r="AA722" s="350"/>
      <c r="AB722" s="350"/>
      <c r="AC722" s="350"/>
      <c r="AD722" s="350"/>
      <c r="AE722" s="350"/>
      <c r="AF722" s="350"/>
      <c r="AG722" s="350"/>
      <c r="AH722" s="350"/>
      <c r="AI722" s="350"/>
    </row>
    <row r="723" spans="24:35">
      <c r="X723" s="350"/>
      <c r="Y723" s="350"/>
      <c r="Z723" s="350"/>
      <c r="AA723" s="350"/>
      <c r="AB723" s="350"/>
      <c r="AC723" s="350"/>
      <c r="AD723" s="350"/>
      <c r="AE723" s="350"/>
      <c r="AF723" s="350"/>
      <c r="AG723" s="350"/>
      <c r="AH723" s="350"/>
      <c r="AI723" s="350"/>
    </row>
    <row r="724" spans="24:35">
      <c r="X724" s="350"/>
      <c r="Y724" s="350"/>
      <c r="Z724" s="350"/>
      <c r="AA724" s="350"/>
      <c r="AB724" s="350"/>
      <c r="AC724" s="350"/>
      <c r="AD724" s="350"/>
      <c r="AE724" s="350"/>
      <c r="AF724" s="350"/>
      <c r="AG724" s="350"/>
      <c r="AH724" s="350"/>
      <c r="AI724" s="350"/>
    </row>
    <row r="725" spans="24:35">
      <c r="X725" s="350"/>
      <c r="Y725" s="350"/>
      <c r="Z725" s="350"/>
      <c r="AA725" s="350"/>
      <c r="AB725" s="350"/>
      <c r="AC725" s="350"/>
      <c r="AD725" s="350"/>
      <c r="AE725" s="350"/>
      <c r="AF725" s="350"/>
      <c r="AG725" s="350"/>
      <c r="AH725" s="350"/>
      <c r="AI725" s="350"/>
    </row>
    <row r="726" spans="24:35">
      <c r="X726" s="350"/>
      <c r="Y726" s="350"/>
      <c r="Z726" s="350"/>
      <c r="AA726" s="350"/>
      <c r="AB726" s="350"/>
      <c r="AC726" s="350"/>
      <c r="AD726" s="350"/>
      <c r="AE726" s="350"/>
      <c r="AF726" s="350"/>
      <c r="AG726" s="350"/>
      <c r="AH726" s="350"/>
      <c r="AI726" s="350"/>
    </row>
    <row r="727" spans="24:35">
      <c r="X727" s="350"/>
      <c r="Y727" s="350"/>
      <c r="Z727" s="350"/>
      <c r="AA727" s="350"/>
      <c r="AB727" s="350"/>
      <c r="AC727" s="350"/>
      <c r="AD727" s="350"/>
      <c r="AE727" s="350"/>
      <c r="AF727" s="350"/>
      <c r="AG727" s="350"/>
      <c r="AH727" s="350"/>
      <c r="AI727" s="350"/>
    </row>
    <row r="728" spans="24:35">
      <c r="X728" s="350"/>
      <c r="Y728" s="350"/>
      <c r="Z728" s="350"/>
      <c r="AA728" s="350"/>
      <c r="AB728" s="350"/>
      <c r="AC728" s="350"/>
      <c r="AD728" s="350"/>
      <c r="AE728" s="350"/>
      <c r="AF728" s="350"/>
      <c r="AG728" s="350"/>
      <c r="AH728" s="350"/>
      <c r="AI728" s="350"/>
    </row>
    <row r="729" spans="24:35">
      <c r="X729" s="350"/>
      <c r="Y729" s="350"/>
      <c r="Z729" s="350"/>
      <c r="AA729" s="350"/>
      <c r="AB729" s="350"/>
      <c r="AC729" s="350"/>
      <c r="AD729" s="350"/>
      <c r="AE729" s="350"/>
      <c r="AF729" s="350"/>
      <c r="AG729" s="350"/>
      <c r="AH729" s="350"/>
      <c r="AI729" s="350"/>
    </row>
    <row r="730" spans="24:35">
      <c r="X730" s="350"/>
      <c r="Y730" s="350"/>
      <c r="Z730" s="350"/>
      <c r="AA730" s="350"/>
      <c r="AB730" s="350"/>
      <c r="AC730" s="350"/>
      <c r="AD730" s="350"/>
      <c r="AE730" s="350"/>
      <c r="AF730" s="350"/>
      <c r="AG730" s="350"/>
      <c r="AH730" s="350"/>
      <c r="AI730" s="350"/>
    </row>
    <row r="731" spans="24:35">
      <c r="X731" s="350"/>
      <c r="Y731" s="350"/>
      <c r="Z731" s="350"/>
      <c r="AA731" s="350"/>
      <c r="AB731" s="350"/>
      <c r="AC731" s="350"/>
      <c r="AD731" s="350"/>
      <c r="AE731" s="350"/>
      <c r="AF731" s="350"/>
      <c r="AG731" s="350"/>
      <c r="AH731" s="350"/>
      <c r="AI731" s="350"/>
    </row>
    <row r="732" spans="24:35">
      <c r="X732" s="350"/>
      <c r="Y732" s="350"/>
      <c r="Z732" s="350"/>
      <c r="AA732" s="350"/>
      <c r="AB732" s="350"/>
      <c r="AC732" s="350"/>
      <c r="AD732" s="350"/>
      <c r="AE732" s="350"/>
      <c r="AF732" s="350"/>
      <c r="AG732" s="350"/>
      <c r="AH732" s="350"/>
      <c r="AI732" s="350"/>
    </row>
    <row r="733" spans="24:35">
      <c r="X733" s="350"/>
      <c r="Y733" s="350"/>
      <c r="Z733" s="350"/>
      <c r="AA733" s="350"/>
      <c r="AB733" s="350"/>
      <c r="AC733" s="350"/>
      <c r="AD733" s="350"/>
      <c r="AE733" s="350"/>
      <c r="AF733" s="350"/>
      <c r="AG733" s="350"/>
      <c r="AH733" s="350"/>
      <c r="AI733" s="350"/>
    </row>
    <row r="734" spans="24:35">
      <c r="X734" s="350"/>
      <c r="Y734" s="350"/>
      <c r="Z734" s="350"/>
      <c r="AA734" s="350"/>
      <c r="AB734" s="350"/>
      <c r="AC734" s="350"/>
      <c r="AD734" s="350"/>
      <c r="AE734" s="350"/>
      <c r="AF734" s="350"/>
      <c r="AG734" s="350"/>
      <c r="AH734" s="350"/>
      <c r="AI734" s="350"/>
    </row>
    <row r="735" spans="24:35">
      <c r="X735" s="350"/>
      <c r="Y735" s="350"/>
      <c r="Z735" s="350"/>
      <c r="AA735" s="350"/>
      <c r="AB735" s="350"/>
      <c r="AC735" s="350"/>
      <c r="AD735" s="350"/>
      <c r="AE735" s="350"/>
      <c r="AF735" s="350"/>
      <c r="AG735" s="350"/>
      <c r="AH735" s="350"/>
      <c r="AI735" s="350"/>
    </row>
    <row r="736" spans="24:35">
      <c r="X736" s="350"/>
      <c r="Y736" s="350"/>
      <c r="Z736" s="350"/>
      <c r="AA736" s="350"/>
      <c r="AB736" s="350"/>
      <c r="AC736" s="350"/>
      <c r="AD736" s="350"/>
      <c r="AE736" s="350"/>
      <c r="AF736" s="350"/>
      <c r="AG736" s="350"/>
      <c r="AH736" s="350"/>
      <c r="AI736" s="350"/>
    </row>
    <row r="737" spans="24:35">
      <c r="X737" s="350"/>
      <c r="Y737" s="350"/>
      <c r="Z737" s="350"/>
      <c r="AA737" s="350"/>
      <c r="AB737" s="350"/>
      <c r="AC737" s="350"/>
      <c r="AD737" s="350"/>
      <c r="AE737" s="350"/>
      <c r="AF737" s="350"/>
      <c r="AG737" s="350"/>
      <c r="AH737" s="350"/>
      <c r="AI737" s="350"/>
    </row>
    <row r="738" spans="24:35">
      <c r="X738" s="350"/>
      <c r="Y738" s="350"/>
      <c r="Z738" s="350"/>
      <c r="AA738" s="350"/>
      <c r="AB738" s="350"/>
      <c r="AC738" s="350"/>
      <c r="AD738" s="350"/>
      <c r="AE738" s="350"/>
      <c r="AF738" s="350"/>
      <c r="AG738" s="350"/>
      <c r="AH738" s="350"/>
      <c r="AI738" s="350"/>
    </row>
    <row r="739" spans="24:35">
      <c r="X739" s="350"/>
      <c r="Y739" s="350"/>
      <c r="Z739" s="350"/>
      <c r="AA739" s="350"/>
      <c r="AB739" s="350"/>
      <c r="AC739" s="350"/>
      <c r="AD739" s="350"/>
      <c r="AE739" s="350"/>
      <c r="AF739" s="350"/>
      <c r="AG739" s="350"/>
      <c r="AH739" s="350"/>
      <c r="AI739" s="350"/>
    </row>
    <row r="740" spans="24:35">
      <c r="X740" s="350"/>
      <c r="Y740" s="350"/>
      <c r="Z740" s="350"/>
      <c r="AA740" s="350"/>
      <c r="AB740" s="350"/>
      <c r="AC740" s="350"/>
      <c r="AD740" s="350"/>
      <c r="AE740" s="350"/>
      <c r="AF740" s="350"/>
      <c r="AG740" s="350"/>
      <c r="AH740" s="350"/>
      <c r="AI740" s="350"/>
    </row>
    <row r="741" spans="24:35">
      <c r="X741" s="350"/>
      <c r="Y741" s="350"/>
      <c r="Z741" s="350"/>
      <c r="AA741" s="350"/>
      <c r="AB741" s="350"/>
      <c r="AC741" s="350"/>
      <c r="AD741" s="350"/>
      <c r="AE741" s="350"/>
      <c r="AF741" s="350"/>
      <c r="AG741" s="350"/>
      <c r="AH741" s="350"/>
      <c r="AI741" s="350"/>
    </row>
    <row r="742" spans="24:35">
      <c r="X742" s="350"/>
      <c r="Y742" s="350"/>
      <c r="Z742" s="350"/>
      <c r="AA742" s="350"/>
      <c r="AB742" s="350"/>
      <c r="AC742" s="350"/>
      <c r="AD742" s="350"/>
      <c r="AE742" s="350"/>
      <c r="AF742" s="350"/>
      <c r="AG742" s="350"/>
      <c r="AH742" s="350"/>
      <c r="AI742" s="350"/>
    </row>
    <row r="743" spans="24:35">
      <c r="X743" s="350"/>
      <c r="Y743" s="350"/>
      <c r="Z743" s="350"/>
      <c r="AA743" s="350"/>
      <c r="AB743" s="350"/>
      <c r="AC743" s="350"/>
      <c r="AD743" s="350"/>
      <c r="AE743" s="350"/>
      <c r="AF743" s="350"/>
      <c r="AG743" s="350"/>
      <c r="AH743" s="350"/>
      <c r="AI743" s="350"/>
    </row>
    <row r="744" spans="24:35">
      <c r="X744" s="350"/>
      <c r="Y744" s="350"/>
      <c r="Z744" s="350"/>
      <c r="AA744" s="350"/>
      <c r="AB744" s="350"/>
      <c r="AC744" s="350"/>
      <c r="AD744" s="350"/>
      <c r="AE744" s="350"/>
      <c r="AF744" s="350"/>
      <c r="AG744" s="350"/>
      <c r="AH744" s="350"/>
      <c r="AI744" s="350"/>
    </row>
    <row r="745" spans="24:35">
      <c r="X745" s="350"/>
      <c r="Y745" s="350"/>
      <c r="Z745" s="350"/>
      <c r="AA745" s="350"/>
      <c r="AB745" s="350"/>
      <c r="AC745" s="350"/>
      <c r="AD745" s="350"/>
      <c r="AE745" s="350"/>
      <c r="AF745" s="350"/>
      <c r="AG745" s="350"/>
      <c r="AH745" s="350"/>
      <c r="AI745" s="350"/>
    </row>
    <row r="746" spans="24:35">
      <c r="X746" s="350"/>
      <c r="Y746" s="350"/>
      <c r="Z746" s="350"/>
      <c r="AA746" s="350"/>
      <c r="AB746" s="350"/>
      <c r="AC746" s="350"/>
      <c r="AD746" s="350"/>
      <c r="AE746" s="350"/>
      <c r="AF746" s="350"/>
      <c r="AG746" s="350"/>
      <c r="AH746" s="350"/>
      <c r="AI746" s="350"/>
    </row>
    <row r="747" spans="24:35">
      <c r="X747" s="350"/>
      <c r="Y747" s="350"/>
      <c r="Z747" s="350"/>
      <c r="AA747" s="350"/>
      <c r="AB747" s="350"/>
      <c r="AC747" s="350"/>
      <c r="AD747" s="350"/>
      <c r="AE747" s="350"/>
      <c r="AF747" s="350"/>
      <c r="AG747" s="350"/>
      <c r="AH747" s="350"/>
      <c r="AI747" s="350"/>
    </row>
    <row r="748" spans="24:35">
      <c r="X748" s="350"/>
      <c r="Y748" s="350"/>
      <c r="Z748" s="350"/>
      <c r="AA748" s="350"/>
      <c r="AB748" s="350"/>
      <c r="AC748" s="350"/>
      <c r="AD748" s="350"/>
      <c r="AE748" s="350"/>
      <c r="AF748" s="350"/>
      <c r="AG748" s="350"/>
      <c r="AH748" s="350"/>
      <c r="AI748" s="350"/>
    </row>
    <row r="749" spans="24:35">
      <c r="X749" s="350"/>
      <c r="Y749" s="350"/>
      <c r="Z749" s="350"/>
      <c r="AA749" s="350"/>
      <c r="AB749" s="350"/>
      <c r="AC749" s="350"/>
      <c r="AD749" s="350"/>
      <c r="AE749" s="350"/>
      <c r="AF749" s="350"/>
      <c r="AG749" s="350"/>
      <c r="AH749" s="350"/>
      <c r="AI749" s="350"/>
    </row>
    <row r="750" spans="24:35">
      <c r="X750" s="350"/>
      <c r="Y750" s="350"/>
      <c r="Z750" s="350"/>
      <c r="AA750" s="350"/>
      <c r="AB750" s="350"/>
      <c r="AC750" s="350"/>
      <c r="AD750" s="350"/>
      <c r="AE750" s="350"/>
      <c r="AF750" s="350"/>
      <c r="AG750" s="350"/>
      <c r="AH750" s="350"/>
      <c r="AI750" s="350"/>
    </row>
    <row r="751" spans="24:35">
      <c r="X751" s="350"/>
      <c r="Y751" s="350"/>
      <c r="Z751" s="350"/>
      <c r="AA751" s="350"/>
      <c r="AB751" s="350"/>
      <c r="AC751" s="350"/>
      <c r="AD751" s="350"/>
      <c r="AE751" s="350"/>
      <c r="AF751" s="350"/>
      <c r="AG751" s="350"/>
      <c r="AH751" s="350"/>
      <c r="AI751" s="350"/>
    </row>
    <row r="752" spans="24:35">
      <c r="X752" s="350"/>
      <c r="Y752" s="350"/>
      <c r="Z752" s="350"/>
      <c r="AA752" s="350"/>
      <c r="AB752" s="350"/>
      <c r="AC752" s="350"/>
      <c r="AD752" s="350"/>
      <c r="AE752" s="350"/>
      <c r="AF752" s="350"/>
      <c r="AG752" s="350"/>
      <c r="AH752" s="350"/>
      <c r="AI752" s="350"/>
    </row>
    <row r="753" spans="24:35">
      <c r="X753" s="350"/>
      <c r="Y753" s="350"/>
      <c r="Z753" s="350"/>
      <c r="AA753" s="350"/>
      <c r="AB753" s="350"/>
      <c r="AC753" s="350"/>
      <c r="AD753" s="350"/>
      <c r="AE753" s="350"/>
      <c r="AF753" s="350"/>
      <c r="AG753" s="350"/>
      <c r="AH753" s="350"/>
      <c r="AI753" s="350"/>
    </row>
    <row r="754" spans="24:35">
      <c r="X754" s="350"/>
      <c r="Y754" s="350"/>
      <c r="Z754" s="350"/>
      <c r="AA754" s="350"/>
      <c r="AB754" s="350"/>
      <c r="AC754" s="350"/>
      <c r="AD754" s="350"/>
      <c r="AE754" s="350"/>
      <c r="AF754" s="350"/>
      <c r="AG754" s="350"/>
      <c r="AH754" s="350"/>
      <c r="AI754" s="350"/>
    </row>
    <row r="755" spans="24:35">
      <c r="X755" s="350"/>
      <c r="Y755" s="350"/>
      <c r="Z755" s="350"/>
      <c r="AA755" s="350"/>
      <c r="AB755" s="350"/>
      <c r="AC755" s="350"/>
      <c r="AD755" s="350"/>
      <c r="AE755" s="350"/>
      <c r="AF755" s="350"/>
      <c r="AG755" s="350"/>
      <c r="AH755" s="350"/>
      <c r="AI755" s="350"/>
    </row>
    <row r="756" spans="24:35">
      <c r="X756" s="350"/>
      <c r="Y756" s="350"/>
      <c r="Z756" s="350"/>
      <c r="AA756" s="350"/>
      <c r="AB756" s="350"/>
      <c r="AC756" s="350"/>
      <c r="AD756" s="350"/>
      <c r="AE756" s="350"/>
      <c r="AF756" s="350"/>
      <c r="AG756" s="350"/>
      <c r="AH756" s="350"/>
      <c r="AI756" s="350"/>
    </row>
    <row r="757" spans="24:35">
      <c r="X757" s="350"/>
      <c r="Y757" s="350"/>
      <c r="Z757" s="350"/>
      <c r="AA757" s="350"/>
      <c r="AB757" s="350"/>
      <c r="AC757" s="350"/>
      <c r="AD757" s="350"/>
      <c r="AE757" s="350"/>
      <c r="AF757" s="350"/>
      <c r="AG757" s="350"/>
      <c r="AH757" s="350"/>
      <c r="AI757" s="350"/>
    </row>
    <row r="758" spans="24:35">
      <c r="X758" s="350"/>
      <c r="Y758" s="350"/>
      <c r="Z758" s="350"/>
      <c r="AA758" s="350"/>
      <c r="AB758" s="350"/>
      <c r="AC758" s="350"/>
      <c r="AD758" s="350"/>
      <c r="AE758" s="350"/>
      <c r="AF758" s="350"/>
      <c r="AG758" s="350"/>
      <c r="AH758" s="350"/>
      <c r="AI758" s="350"/>
    </row>
    <row r="759" spans="24:35">
      <c r="X759" s="350"/>
      <c r="Y759" s="350"/>
      <c r="Z759" s="350"/>
      <c r="AA759" s="350"/>
      <c r="AB759" s="350"/>
      <c r="AC759" s="350"/>
      <c r="AD759" s="350"/>
      <c r="AE759" s="350"/>
      <c r="AF759" s="350"/>
      <c r="AG759" s="350"/>
      <c r="AH759" s="350"/>
      <c r="AI759" s="350"/>
    </row>
    <row r="760" spans="24:35">
      <c r="X760" s="350"/>
      <c r="Y760" s="350"/>
      <c r="Z760" s="350"/>
      <c r="AA760" s="350"/>
      <c r="AB760" s="350"/>
      <c r="AC760" s="350"/>
      <c r="AD760" s="350"/>
      <c r="AE760" s="350"/>
      <c r="AF760" s="350"/>
      <c r="AG760" s="350"/>
      <c r="AH760" s="350"/>
      <c r="AI760" s="350"/>
    </row>
    <row r="761" spans="24:35">
      <c r="X761" s="350"/>
      <c r="Y761" s="350"/>
      <c r="Z761" s="350"/>
      <c r="AA761" s="350"/>
      <c r="AB761" s="350"/>
      <c r="AC761" s="350"/>
      <c r="AD761" s="350"/>
      <c r="AE761" s="350"/>
      <c r="AF761" s="350"/>
      <c r="AG761" s="350"/>
      <c r="AH761" s="350"/>
      <c r="AI761" s="350"/>
    </row>
    <row r="762" spans="24:35">
      <c r="X762" s="350"/>
      <c r="Y762" s="350"/>
      <c r="Z762" s="350"/>
      <c r="AA762" s="350"/>
      <c r="AB762" s="350"/>
      <c r="AC762" s="350"/>
      <c r="AD762" s="350"/>
      <c r="AE762" s="350"/>
      <c r="AF762" s="350"/>
      <c r="AG762" s="350"/>
      <c r="AH762" s="350"/>
      <c r="AI762" s="350"/>
    </row>
    <row r="763" spans="24:35">
      <c r="X763" s="350"/>
      <c r="Y763" s="350"/>
      <c r="Z763" s="350"/>
      <c r="AA763" s="350"/>
      <c r="AB763" s="350"/>
      <c r="AC763" s="350"/>
      <c r="AD763" s="350"/>
      <c r="AE763" s="350"/>
      <c r="AF763" s="350"/>
      <c r="AG763" s="350"/>
      <c r="AH763" s="350"/>
      <c r="AI763" s="350"/>
    </row>
    <row r="764" spans="24:35">
      <c r="X764" s="350"/>
      <c r="Y764" s="350"/>
      <c r="Z764" s="350"/>
      <c r="AA764" s="350"/>
      <c r="AB764" s="350"/>
      <c r="AC764" s="350"/>
      <c r="AD764" s="350"/>
      <c r="AE764" s="350"/>
      <c r="AF764" s="350"/>
      <c r="AG764" s="350"/>
      <c r="AH764" s="350"/>
      <c r="AI764" s="350"/>
    </row>
    <row r="765" spans="24:35">
      <c r="X765" s="350"/>
      <c r="Y765" s="350"/>
      <c r="Z765" s="350"/>
      <c r="AA765" s="350"/>
      <c r="AB765" s="350"/>
      <c r="AC765" s="350"/>
      <c r="AD765" s="350"/>
      <c r="AE765" s="350"/>
      <c r="AF765" s="350"/>
      <c r="AG765" s="350"/>
      <c r="AH765" s="350"/>
      <c r="AI765" s="350"/>
    </row>
    <row r="766" spans="24:35">
      <c r="X766" s="350"/>
      <c r="Y766" s="350"/>
      <c r="Z766" s="350"/>
      <c r="AA766" s="350"/>
      <c r="AB766" s="350"/>
      <c r="AC766" s="350"/>
      <c r="AD766" s="350"/>
      <c r="AE766" s="350"/>
      <c r="AF766" s="350"/>
      <c r="AG766" s="350"/>
      <c r="AH766" s="350"/>
      <c r="AI766" s="350"/>
    </row>
    <row r="767" spans="24:35">
      <c r="X767" s="350"/>
      <c r="Y767" s="350"/>
      <c r="Z767" s="350"/>
      <c r="AA767" s="350"/>
      <c r="AB767" s="350"/>
      <c r="AC767" s="350"/>
      <c r="AD767" s="350"/>
      <c r="AE767" s="350"/>
      <c r="AF767" s="350"/>
      <c r="AG767" s="350"/>
      <c r="AH767" s="350"/>
      <c r="AI767" s="350"/>
    </row>
    <row r="768" spans="24:35">
      <c r="X768" s="350"/>
      <c r="Y768" s="350"/>
      <c r="Z768" s="350"/>
      <c r="AA768" s="350"/>
      <c r="AB768" s="350"/>
      <c r="AC768" s="350"/>
      <c r="AD768" s="350"/>
      <c r="AE768" s="350"/>
      <c r="AF768" s="350"/>
      <c r="AG768" s="350"/>
      <c r="AH768" s="350"/>
      <c r="AI768" s="350"/>
    </row>
    <row r="769" spans="24:35">
      <c r="X769" s="350"/>
      <c r="Y769" s="350"/>
      <c r="Z769" s="350"/>
      <c r="AA769" s="350"/>
      <c r="AB769" s="350"/>
      <c r="AC769" s="350"/>
      <c r="AD769" s="350"/>
      <c r="AE769" s="350"/>
      <c r="AF769" s="350"/>
      <c r="AG769" s="350"/>
      <c r="AH769" s="350"/>
      <c r="AI769" s="350"/>
    </row>
    <row r="770" spans="24:35">
      <c r="X770" s="350"/>
      <c r="Y770" s="350"/>
      <c r="Z770" s="350"/>
      <c r="AA770" s="350"/>
      <c r="AB770" s="350"/>
      <c r="AC770" s="350"/>
      <c r="AD770" s="350"/>
      <c r="AE770" s="350"/>
      <c r="AF770" s="350"/>
      <c r="AG770" s="350"/>
      <c r="AH770" s="350"/>
      <c r="AI770" s="350"/>
    </row>
    <row r="771" spans="24:35">
      <c r="X771" s="350"/>
      <c r="Y771" s="350"/>
      <c r="Z771" s="350"/>
      <c r="AA771" s="350"/>
      <c r="AB771" s="350"/>
      <c r="AC771" s="350"/>
      <c r="AD771" s="350"/>
      <c r="AE771" s="350"/>
      <c r="AF771" s="350"/>
      <c r="AG771" s="350"/>
      <c r="AH771" s="350"/>
      <c r="AI771" s="350"/>
    </row>
    <row r="772" spans="24:35">
      <c r="X772" s="350"/>
      <c r="Y772" s="350"/>
      <c r="Z772" s="350"/>
      <c r="AA772" s="350"/>
      <c r="AB772" s="350"/>
      <c r="AC772" s="350"/>
      <c r="AD772" s="350"/>
      <c r="AE772" s="350"/>
      <c r="AF772" s="350"/>
      <c r="AG772" s="350"/>
      <c r="AH772" s="350"/>
      <c r="AI772" s="350"/>
    </row>
    <row r="773" spans="24:35">
      <c r="X773" s="350"/>
      <c r="Y773" s="350"/>
      <c r="Z773" s="350"/>
      <c r="AA773" s="350"/>
      <c r="AB773" s="350"/>
      <c r="AC773" s="350"/>
      <c r="AD773" s="350"/>
      <c r="AE773" s="350"/>
      <c r="AF773" s="350"/>
      <c r="AG773" s="350"/>
      <c r="AH773" s="350"/>
      <c r="AI773" s="350"/>
    </row>
    <row r="774" spans="24:35">
      <c r="X774" s="350"/>
      <c r="Y774" s="350"/>
      <c r="Z774" s="350"/>
      <c r="AA774" s="350"/>
      <c r="AB774" s="350"/>
      <c r="AC774" s="350"/>
      <c r="AD774" s="350"/>
      <c r="AE774" s="350"/>
      <c r="AF774" s="350"/>
      <c r="AG774" s="350"/>
      <c r="AH774" s="350"/>
      <c r="AI774" s="350"/>
    </row>
    <row r="775" spans="24:35">
      <c r="X775" s="350"/>
      <c r="Y775" s="350"/>
      <c r="Z775" s="350"/>
      <c r="AA775" s="350"/>
      <c r="AB775" s="350"/>
      <c r="AC775" s="350"/>
      <c r="AD775" s="350"/>
      <c r="AE775" s="350"/>
      <c r="AF775" s="350"/>
      <c r="AG775" s="350"/>
      <c r="AH775" s="350"/>
      <c r="AI775" s="350"/>
    </row>
    <row r="776" spans="24:35">
      <c r="X776" s="350"/>
      <c r="Y776" s="350"/>
      <c r="Z776" s="350"/>
      <c r="AA776" s="350"/>
      <c r="AB776" s="350"/>
      <c r="AC776" s="350"/>
      <c r="AD776" s="350"/>
      <c r="AE776" s="350"/>
      <c r="AF776" s="350"/>
      <c r="AG776" s="350"/>
      <c r="AH776" s="350"/>
      <c r="AI776" s="350"/>
    </row>
    <row r="777" spans="24:35">
      <c r="X777" s="350"/>
      <c r="Y777" s="350"/>
      <c r="Z777" s="350"/>
      <c r="AA777" s="350"/>
      <c r="AB777" s="350"/>
      <c r="AC777" s="350"/>
      <c r="AD777" s="350"/>
      <c r="AE777" s="350"/>
      <c r="AF777" s="350"/>
      <c r="AG777" s="350"/>
      <c r="AH777" s="350"/>
      <c r="AI777" s="350"/>
    </row>
    <row r="778" spans="24:35">
      <c r="X778" s="350"/>
      <c r="Y778" s="350"/>
      <c r="Z778" s="350"/>
      <c r="AA778" s="350"/>
      <c r="AB778" s="350"/>
      <c r="AC778" s="350"/>
      <c r="AD778" s="350"/>
      <c r="AE778" s="350"/>
      <c r="AF778" s="350"/>
      <c r="AG778" s="350"/>
      <c r="AH778" s="350"/>
      <c r="AI778" s="350"/>
    </row>
    <row r="779" spans="24:35">
      <c r="X779" s="350"/>
      <c r="Y779" s="350"/>
      <c r="Z779" s="350"/>
      <c r="AA779" s="350"/>
      <c r="AB779" s="350"/>
      <c r="AC779" s="350"/>
      <c r="AD779" s="350"/>
      <c r="AE779" s="350"/>
      <c r="AF779" s="350"/>
      <c r="AG779" s="350"/>
      <c r="AH779" s="350"/>
      <c r="AI779" s="350"/>
    </row>
    <row r="780" spans="24:35">
      <c r="X780" s="350"/>
      <c r="Y780" s="350"/>
      <c r="Z780" s="350"/>
      <c r="AA780" s="350"/>
      <c r="AB780" s="350"/>
      <c r="AC780" s="350"/>
      <c r="AD780" s="350"/>
      <c r="AE780" s="350"/>
      <c r="AF780" s="350"/>
      <c r="AG780" s="350"/>
      <c r="AH780" s="350"/>
      <c r="AI780" s="350"/>
    </row>
    <row r="781" spans="24:35">
      <c r="X781" s="350"/>
      <c r="Y781" s="350"/>
      <c r="Z781" s="350"/>
      <c r="AA781" s="350"/>
      <c r="AB781" s="350"/>
      <c r="AC781" s="350"/>
      <c r="AD781" s="350"/>
      <c r="AE781" s="350"/>
      <c r="AF781" s="350"/>
      <c r="AG781" s="350"/>
      <c r="AH781" s="350"/>
      <c r="AI781" s="350"/>
    </row>
    <row r="782" spans="24:35">
      <c r="X782" s="350"/>
      <c r="Y782" s="350"/>
      <c r="Z782" s="350"/>
      <c r="AA782" s="350"/>
      <c r="AB782" s="350"/>
      <c r="AC782" s="350"/>
      <c r="AD782" s="350"/>
      <c r="AE782" s="350"/>
      <c r="AF782" s="350"/>
      <c r="AG782" s="350"/>
      <c r="AH782" s="350"/>
      <c r="AI782" s="350"/>
    </row>
    <row r="783" spans="24:35">
      <c r="X783" s="350"/>
      <c r="Y783" s="350"/>
      <c r="Z783" s="350"/>
      <c r="AA783" s="350"/>
      <c r="AB783" s="350"/>
      <c r="AC783" s="350"/>
      <c r="AD783" s="350"/>
      <c r="AE783" s="350"/>
      <c r="AF783" s="350"/>
      <c r="AG783" s="350"/>
      <c r="AH783" s="350"/>
      <c r="AI783" s="350"/>
    </row>
    <row r="784" spans="24:35">
      <c r="X784" s="350"/>
      <c r="Y784" s="350"/>
      <c r="Z784" s="350"/>
      <c r="AA784" s="350"/>
      <c r="AB784" s="350"/>
      <c r="AC784" s="350"/>
      <c r="AD784" s="350"/>
      <c r="AE784" s="350"/>
      <c r="AF784" s="350"/>
      <c r="AG784" s="350"/>
      <c r="AH784" s="350"/>
      <c r="AI784" s="350"/>
    </row>
    <row r="785" spans="24:35">
      <c r="X785" s="350"/>
      <c r="Y785" s="350"/>
      <c r="Z785" s="350"/>
      <c r="AA785" s="350"/>
      <c r="AB785" s="350"/>
      <c r="AC785" s="350"/>
      <c r="AD785" s="350"/>
      <c r="AE785" s="350"/>
      <c r="AF785" s="350"/>
      <c r="AG785" s="350"/>
      <c r="AH785" s="350"/>
      <c r="AI785" s="350"/>
    </row>
    <row r="786" spans="24:35">
      <c r="X786" s="350"/>
      <c r="Y786" s="350"/>
      <c r="Z786" s="350"/>
      <c r="AA786" s="350"/>
      <c r="AB786" s="350"/>
      <c r="AC786" s="350"/>
      <c r="AD786" s="350"/>
      <c r="AE786" s="350"/>
      <c r="AF786" s="350"/>
      <c r="AG786" s="350"/>
      <c r="AH786" s="350"/>
      <c r="AI786" s="350"/>
    </row>
    <row r="787" spans="24:35">
      <c r="X787" s="350"/>
      <c r="Y787" s="350"/>
      <c r="Z787" s="350"/>
      <c r="AA787" s="350"/>
      <c r="AB787" s="350"/>
      <c r="AC787" s="350"/>
      <c r="AD787" s="350"/>
      <c r="AE787" s="350"/>
      <c r="AF787" s="350"/>
      <c r="AG787" s="350"/>
      <c r="AH787" s="350"/>
      <c r="AI787" s="350"/>
    </row>
    <row r="788" spans="24:35">
      <c r="X788" s="350"/>
      <c r="Y788" s="350"/>
      <c r="Z788" s="350"/>
      <c r="AA788" s="350"/>
      <c r="AB788" s="350"/>
      <c r="AC788" s="350"/>
      <c r="AD788" s="350"/>
      <c r="AE788" s="350"/>
      <c r="AF788" s="350"/>
      <c r="AG788" s="350"/>
      <c r="AH788" s="350"/>
      <c r="AI788" s="350"/>
    </row>
    <row r="789" spans="24:35">
      <c r="X789" s="350"/>
      <c r="Y789" s="350"/>
      <c r="Z789" s="350"/>
      <c r="AA789" s="350"/>
      <c r="AB789" s="350"/>
      <c r="AC789" s="350"/>
      <c r="AD789" s="350"/>
      <c r="AE789" s="350"/>
      <c r="AF789" s="350"/>
      <c r="AG789" s="350"/>
      <c r="AH789" s="350"/>
      <c r="AI789" s="350"/>
    </row>
    <row r="790" spans="24:35">
      <c r="X790" s="350"/>
      <c r="Y790" s="350"/>
      <c r="Z790" s="350"/>
      <c r="AA790" s="350"/>
      <c r="AB790" s="350"/>
      <c r="AC790" s="350"/>
      <c r="AD790" s="350"/>
      <c r="AE790" s="350"/>
      <c r="AF790" s="350"/>
      <c r="AG790" s="350"/>
      <c r="AH790" s="350"/>
      <c r="AI790" s="350"/>
    </row>
    <row r="791" spans="24:35">
      <c r="X791" s="350"/>
      <c r="Y791" s="350"/>
      <c r="Z791" s="350"/>
      <c r="AA791" s="350"/>
      <c r="AB791" s="350"/>
      <c r="AC791" s="350"/>
      <c r="AD791" s="350"/>
      <c r="AE791" s="350"/>
      <c r="AF791" s="350"/>
      <c r="AG791" s="350"/>
      <c r="AH791" s="350"/>
      <c r="AI791" s="350"/>
    </row>
    <row r="792" spans="24:35">
      <c r="X792" s="350"/>
      <c r="Y792" s="350"/>
      <c r="Z792" s="350"/>
      <c r="AA792" s="350"/>
      <c r="AB792" s="350"/>
      <c r="AC792" s="350"/>
      <c r="AD792" s="350"/>
      <c r="AE792" s="350"/>
      <c r="AF792" s="350"/>
      <c r="AG792" s="350"/>
      <c r="AH792" s="350"/>
      <c r="AI792" s="350"/>
    </row>
    <row r="793" spans="24:35">
      <c r="X793" s="350"/>
      <c r="Y793" s="350"/>
      <c r="Z793" s="350"/>
      <c r="AA793" s="350"/>
      <c r="AB793" s="350"/>
      <c r="AC793" s="350"/>
      <c r="AD793" s="350"/>
      <c r="AE793" s="350"/>
      <c r="AF793" s="350"/>
      <c r="AG793" s="350"/>
      <c r="AH793" s="350"/>
      <c r="AI793" s="350"/>
    </row>
    <row r="794" spans="24:35">
      <c r="X794" s="350"/>
      <c r="Y794" s="350"/>
      <c r="Z794" s="350"/>
      <c r="AA794" s="350"/>
      <c r="AB794" s="350"/>
      <c r="AC794" s="350"/>
      <c r="AD794" s="350"/>
      <c r="AE794" s="350"/>
      <c r="AF794" s="350"/>
      <c r="AG794" s="350"/>
      <c r="AH794" s="350"/>
      <c r="AI794" s="350"/>
    </row>
    <row r="795" spans="24:35">
      <c r="X795" s="350"/>
      <c r="Y795" s="350"/>
      <c r="Z795" s="350"/>
      <c r="AA795" s="350"/>
      <c r="AB795" s="350"/>
      <c r="AC795" s="350"/>
      <c r="AD795" s="350"/>
      <c r="AE795" s="350"/>
      <c r="AF795" s="350"/>
      <c r="AG795" s="350"/>
      <c r="AH795" s="350"/>
      <c r="AI795" s="350"/>
    </row>
    <row r="796" spans="24:35">
      <c r="X796" s="350"/>
      <c r="Y796" s="350"/>
      <c r="Z796" s="350"/>
      <c r="AA796" s="350"/>
      <c r="AB796" s="350"/>
      <c r="AC796" s="350"/>
      <c r="AD796" s="350"/>
      <c r="AE796" s="350"/>
      <c r="AF796" s="350"/>
      <c r="AG796" s="350"/>
      <c r="AH796" s="350"/>
      <c r="AI796" s="350"/>
    </row>
    <row r="797" spans="24:35">
      <c r="X797" s="350"/>
      <c r="Y797" s="350"/>
      <c r="Z797" s="350"/>
      <c r="AA797" s="350"/>
      <c r="AB797" s="350"/>
      <c r="AC797" s="350"/>
      <c r="AD797" s="350"/>
      <c r="AE797" s="350"/>
      <c r="AF797" s="350"/>
      <c r="AG797" s="350"/>
      <c r="AH797" s="350"/>
      <c r="AI797" s="350"/>
    </row>
    <row r="798" spans="24:35">
      <c r="X798" s="350"/>
      <c r="Y798" s="350"/>
      <c r="Z798" s="350"/>
      <c r="AA798" s="350"/>
      <c r="AB798" s="350"/>
      <c r="AC798" s="350"/>
      <c r="AD798" s="350"/>
      <c r="AE798" s="350"/>
      <c r="AF798" s="350"/>
      <c r="AG798" s="350"/>
      <c r="AH798" s="350"/>
      <c r="AI798" s="350"/>
    </row>
    <row r="799" spans="24:35">
      <c r="X799" s="350"/>
      <c r="Y799" s="350"/>
      <c r="Z799" s="350"/>
      <c r="AA799" s="350"/>
      <c r="AB799" s="350"/>
      <c r="AC799" s="350"/>
      <c r="AD799" s="350"/>
      <c r="AE799" s="350"/>
      <c r="AF799" s="350"/>
      <c r="AG799" s="350"/>
      <c r="AH799" s="350"/>
      <c r="AI799" s="350"/>
    </row>
    <row r="800" spans="24:35">
      <c r="X800" s="350"/>
      <c r="Y800" s="350"/>
      <c r="Z800" s="350"/>
      <c r="AA800" s="350"/>
      <c r="AB800" s="350"/>
      <c r="AC800" s="350"/>
      <c r="AD800" s="350"/>
      <c r="AE800" s="350"/>
      <c r="AF800" s="350"/>
      <c r="AG800" s="350"/>
      <c r="AH800" s="350"/>
      <c r="AI800" s="350"/>
    </row>
    <row r="801" spans="24:35">
      <c r="X801" s="350"/>
      <c r="Y801" s="350"/>
      <c r="Z801" s="350"/>
      <c r="AA801" s="350"/>
      <c r="AB801" s="350"/>
      <c r="AC801" s="350"/>
      <c r="AD801" s="350"/>
      <c r="AE801" s="350"/>
      <c r="AF801" s="350"/>
      <c r="AG801" s="350"/>
      <c r="AH801" s="350"/>
      <c r="AI801" s="350"/>
    </row>
    <row r="802" spans="24:35">
      <c r="X802" s="350"/>
      <c r="Y802" s="350"/>
      <c r="Z802" s="350"/>
      <c r="AA802" s="350"/>
      <c r="AB802" s="350"/>
      <c r="AC802" s="350"/>
      <c r="AD802" s="350"/>
      <c r="AE802" s="350"/>
      <c r="AF802" s="350"/>
      <c r="AG802" s="350"/>
      <c r="AH802" s="350"/>
      <c r="AI802" s="350"/>
    </row>
    <row r="803" spans="24:35">
      <c r="X803" s="350"/>
      <c r="Y803" s="350"/>
      <c r="Z803" s="350"/>
      <c r="AA803" s="350"/>
      <c r="AB803" s="350"/>
      <c r="AC803" s="350"/>
      <c r="AD803" s="350"/>
      <c r="AE803" s="350"/>
      <c r="AF803" s="350"/>
      <c r="AG803" s="350"/>
      <c r="AH803" s="350"/>
      <c r="AI803" s="350"/>
    </row>
    <row r="804" spans="24:35">
      <c r="X804" s="350"/>
      <c r="Y804" s="350"/>
      <c r="Z804" s="350"/>
      <c r="AA804" s="350"/>
      <c r="AB804" s="350"/>
      <c r="AC804" s="350"/>
      <c r="AD804" s="350"/>
      <c r="AE804" s="350"/>
      <c r="AF804" s="350"/>
      <c r="AG804" s="350"/>
      <c r="AH804" s="350"/>
      <c r="AI804" s="350"/>
    </row>
    <row r="805" spans="24:35">
      <c r="X805" s="350"/>
      <c r="Y805" s="350"/>
      <c r="Z805" s="350"/>
      <c r="AA805" s="350"/>
      <c r="AB805" s="350"/>
      <c r="AC805" s="350"/>
      <c r="AD805" s="350"/>
      <c r="AE805" s="350"/>
      <c r="AF805" s="350"/>
      <c r="AG805" s="350"/>
      <c r="AH805" s="350"/>
      <c r="AI805" s="350"/>
    </row>
    <row r="806" spans="24:35">
      <c r="X806" s="350"/>
      <c r="Y806" s="350"/>
      <c r="Z806" s="350"/>
      <c r="AA806" s="350"/>
      <c r="AB806" s="350"/>
      <c r="AC806" s="350"/>
      <c r="AD806" s="350"/>
      <c r="AE806" s="350"/>
      <c r="AF806" s="350"/>
      <c r="AG806" s="350"/>
      <c r="AH806" s="350"/>
      <c r="AI806" s="350"/>
    </row>
    <row r="807" spans="24:35">
      <c r="X807" s="350"/>
      <c r="Y807" s="350"/>
      <c r="Z807" s="350"/>
      <c r="AA807" s="350"/>
      <c r="AB807" s="350"/>
      <c r="AC807" s="350"/>
      <c r="AD807" s="350"/>
      <c r="AE807" s="350"/>
      <c r="AF807" s="350"/>
      <c r="AG807" s="350"/>
      <c r="AH807" s="350"/>
      <c r="AI807" s="350"/>
    </row>
    <row r="808" spans="24:35">
      <c r="X808" s="350"/>
      <c r="Y808" s="350"/>
      <c r="Z808" s="350"/>
      <c r="AA808" s="350"/>
      <c r="AB808" s="350"/>
      <c r="AC808" s="350"/>
      <c r="AD808" s="350"/>
      <c r="AE808" s="350"/>
      <c r="AF808" s="350"/>
      <c r="AG808" s="350"/>
      <c r="AH808" s="350"/>
      <c r="AI808" s="350"/>
    </row>
    <row r="809" spans="24:35">
      <c r="X809" s="350"/>
      <c r="Y809" s="350"/>
      <c r="Z809" s="350"/>
      <c r="AA809" s="350"/>
      <c r="AB809" s="350"/>
      <c r="AC809" s="350"/>
      <c r="AD809" s="350"/>
      <c r="AE809" s="350"/>
      <c r="AF809" s="350"/>
      <c r="AG809" s="350"/>
      <c r="AH809" s="350"/>
      <c r="AI809" s="350"/>
    </row>
    <row r="810" spans="24:35">
      <c r="X810" s="350"/>
      <c r="Y810" s="350"/>
      <c r="Z810" s="350"/>
      <c r="AA810" s="350"/>
      <c r="AB810" s="350"/>
      <c r="AC810" s="350"/>
      <c r="AD810" s="350"/>
      <c r="AE810" s="350"/>
      <c r="AF810" s="350"/>
      <c r="AG810" s="350"/>
      <c r="AH810" s="350"/>
      <c r="AI810" s="350"/>
    </row>
    <row r="811" spans="24:35">
      <c r="X811" s="350"/>
      <c r="Y811" s="350"/>
      <c r="Z811" s="350"/>
      <c r="AA811" s="350"/>
      <c r="AB811" s="350"/>
      <c r="AC811" s="350"/>
      <c r="AD811" s="350"/>
      <c r="AE811" s="350"/>
      <c r="AF811" s="350"/>
      <c r="AG811" s="350"/>
      <c r="AH811" s="350"/>
      <c r="AI811" s="350"/>
    </row>
    <row r="812" spans="24:35">
      <c r="X812" s="350"/>
      <c r="Y812" s="350"/>
      <c r="Z812" s="350"/>
      <c r="AA812" s="350"/>
      <c r="AB812" s="350"/>
      <c r="AC812" s="350"/>
      <c r="AD812" s="350"/>
      <c r="AE812" s="350"/>
      <c r="AF812" s="350"/>
      <c r="AG812" s="350"/>
      <c r="AH812" s="350"/>
      <c r="AI812" s="350"/>
    </row>
    <row r="813" spans="24:35">
      <c r="X813" s="350"/>
      <c r="Y813" s="350"/>
      <c r="Z813" s="350"/>
      <c r="AA813" s="350"/>
      <c r="AB813" s="350"/>
      <c r="AC813" s="350"/>
      <c r="AD813" s="350"/>
      <c r="AE813" s="350"/>
      <c r="AF813" s="350"/>
      <c r="AG813" s="350"/>
      <c r="AH813" s="350"/>
      <c r="AI813" s="350"/>
    </row>
    <row r="814" spans="24:35">
      <c r="X814" s="350"/>
      <c r="Y814" s="350"/>
      <c r="Z814" s="350"/>
      <c r="AA814" s="350"/>
      <c r="AB814" s="350"/>
      <c r="AC814" s="350"/>
      <c r="AD814" s="350"/>
      <c r="AE814" s="350"/>
      <c r="AF814" s="350"/>
      <c r="AG814" s="350"/>
      <c r="AH814" s="350"/>
      <c r="AI814" s="350"/>
    </row>
    <row r="815" spans="24:35">
      <c r="X815" s="350"/>
      <c r="Y815" s="350"/>
      <c r="Z815" s="350"/>
      <c r="AA815" s="350"/>
      <c r="AB815" s="350"/>
      <c r="AC815" s="350"/>
      <c r="AD815" s="350"/>
      <c r="AE815" s="350"/>
      <c r="AF815" s="350"/>
      <c r="AG815" s="350"/>
      <c r="AH815" s="350"/>
      <c r="AI815" s="350"/>
    </row>
    <row r="816" spans="24:35">
      <c r="X816" s="350"/>
      <c r="Y816" s="350"/>
      <c r="Z816" s="350"/>
      <c r="AA816" s="350"/>
      <c r="AB816" s="350"/>
      <c r="AC816" s="350"/>
      <c r="AD816" s="350"/>
      <c r="AE816" s="350"/>
      <c r="AF816" s="350"/>
      <c r="AG816" s="350"/>
      <c r="AH816" s="350"/>
      <c r="AI816" s="350"/>
    </row>
    <row r="817" spans="24:35">
      <c r="X817" s="350"/>
      <c r="Y817" s="350"/>
      <c r="Z817" s="350"/>
      <c r="AA817" s="350"/>
      <c r="AB817" s="350"/>
      <c r="AC817" s="350"/>
      <c r="AD817" s="350"/>
      <c r="AE817" s="350"/>
      <c r="AF817" s="350"/>
      <c r="AG817" s="350"/>
      <c r="AH817" s="350"/>
      <c r="AI817" s="350"/>
    </row>
    <row r="818" spans="24:35">
      <c r="X818" s="350"/>
      <c r="Y818" s="350"/>
      <c r="Z818" s="350"/>
      <c r="AA818" s="350"/>
      <c r="AB818" s="350"/>
      <c r="AC818" s="350"/>
      <c r="AD818" s="350"/>
      <c r="AE818" s="350"/>
      <c r="AF818" s="350"/>
      <c r="AG818" s="350"/>
      <c r="AH818" s="350"/>
      <c r="AI818" s="350"/>
    </row>
    <row r="819" spans="24:35">
      <c r="X819" s="350"/>
      <c r="Y819" s="350"/>
      <c r="Z819" s="350"/>
      <c r="AA819" s="350"/>
      <c r="AB819" s="350"/>
      <c r="AC819" s="350"/>
      <c r="AD819" s="350"/>
      <c r="AE819" s="350"/>
      <c r="AF819" s="350"/>
      <c r="AG819" s="350"/>
      <c r="AH819" s="350"/>
      <c r="AI819" s="350"/>
    </row>
    <row r="820" spans="24:35">
      <c r="X820" s="350"/>
      <c r="Y820" s="350"/>
      <c r="Z820" s="350"/>
      <c r="AA820" s="350"/>
      <c r="AB820" s="350"/>
      <c r="AC820" s="350"/>
      <c r="AD820" s="350"/>
      <c r="AE820" s="350"/>
      <c r="AF820" s="350"/>
      <c r="AG820" s="350"/>
      <c r="AH820" s="350"/>
      <c r="AI820" s="350"/>
    </row>
    <row r="821" spans="24:35">
      <c r="X821" s="350"/>
      <c r="Y821" s="350"/>
      <c r="Z821" s="350"/>
      <c r="AA821" s="350"/>
      <c r="AB821" s="350"/>
      <c r="AC821" s="350"/>
      <c r="AD821" s="350"/>
      <c r="AE821" s="350"/>
      <c r="AF821" s="350"/>
      <c r="AG821" s="350"/>
      <c r="AH821" s="350"/>
      <c r="AI821" s="350"/>
    </row>
    <row r="822" spans="24:35">
      <c r="X822" s="350"/>
      <c r="Y822" s="350"/>
      <c r="Z822" s="350"/>
      <c r="AA822" s="350"/>
      <c r="AB822" s="350"/>
      <c r="AC822" s="350"/>
      <c r="AD822" s="350"/>
      <c r="AE822" s="350"/>
      <c r="AF822" s="350"/>
      <c r="AG822" s="350"/>
      <c r="AH822" s="350"/>
      <c r="AI822" s="350"/>
    </row>
    <row r="823" spans="24:35">
      <c r="X823" s="350"/>
      <c r="Y823" s="350"/>
      <c r="Z823" s="350"/>
      <c r="AA823" s="350"/>
      <c r="AB823" s="350"/>
      <c r="AC823" s="350"/>
      <c r="AD823" s="350"/>
      <c r="AE823" s="350"/>
      <c r="AF823" s="350"/>
      <c r="AG823" s="350"/>
      <c r="AH823" s="350"/>
      <c r="AI823" s="350"/>
    </row>
    <row r="824" spans="24:35">
      <c r="X824" s="350"/>
      <c r="Y824" s="350"/>
      <c r="Z824" s="350"/>
      <c r="AA824" s="350"/>
      <c r="AB824" s="350"/>
      <c r="AC824" s="350"/>
      <c r="AD824" s="350"/>
      <c r="AE824" s="350"/>
      <c r="AF824" s="350"/>
      <c r="AG824" s="350"/>
      <c r="AH824" s="350"/>
      <c r="AI824" s="350"/>
    </row>
    <row r="825" spans="24:35">
      <c r="X825" s="350"/>
      <c r="Y825" s="350"/>
      <c r="Z825" s="350"/>
      <c r="AA825" s="350"/>
      <c r="AB825" s="350"/>
      <c r="AC825" s="350"/>
      <c r="AD825" s="350"/>
      <c r="AE825" s="350"/>
      <c r="AF825" s="350"/>
      <c r="AG825" s="350"/>
      <c r="AH825" s="350"/>
      <c r="AI825" s="350"/>
    </row>
    <row r="826" spans="24:35">
      <c r="X826" s="350"/>
      <c r="Y826" s="350"/>
      <c r="Z826" s="350"/>
      <c r="AA826" s="350"/>
      <c r="AB826" s="350"/>
      <c r="AC826" s="350"/>
      <c r="AD826" s="350"/>
      <c r="AE826" s="350"/>
      <c r="AF826" s="350"/>
      <c r="AG826" s="350"/>
      <c r="AH826" s="350"/>
      <c r="AI826" s="350"/>
    </row>
    <row r="827" spans="24:35">
      <c r="X827" s="350"/>
      <c r="Y827" s="350"/>
      <c r="Z827" s="350"/>
      <c r="AA827" s="350"/>
      <c r="AB827" s="350"/>
      <c r="AC827" s="350"/>
      <c r="AD827" s="350"/>
      <c r="AE827" s="350"/>
      <c r="AF827" s="350"/>
      <c r="AG827" s="350"/>
      <c r="AH827" s="350"/>
      <c r="AI827" s="350"/>
    </row>
    <row r="828" spans="24:35">
      <c r="X828" s="350"/>
      <c r="Y828" s="350"/>
      <c r="Z828" s="350"/>
      <c r="AA828" s="350"/>
      <c r="AB828" s="350"/>
      <c r="AC828" s="350"/>
      <c r="AD828" s="350"/>
      <c r="AE828" s="350"/>
      <c r="AF828" s="350"/>
      <c r="AG828" s="350"/>
      <c r="AH828" s="350"/>
      <c r="AI828" s="350"/>
    </row>
    <row r="829" spans="24:35">
      <c r="X829" s="350"/>
      <c r="Y829" s="350"/>
      <c r="Z829" s="350"/>
      <c r="AA829" s="350"/>
      <c r="AB829" s="350"/>
      <c r="AC829" s="350"/>
      <c r="AD829" s="350"/>
      <c r="AE829" s="350"/>
      <c r="AF829" s="350"/>
      <c r="AG829" s="350"/>
      <c r="AH829" s="350"/>
      <c r="AI829" s="350"/>
    </row>
    <row r="830" spans="24:35">
      <c r="X830" s="350"/>
      <c r="Y830" s="350"/>
      <c r="Z830" s="350"/>
      <c r="AA830" s="350"/>
      <c r="AB830" s="350"/>
      <c r="AC830" s="350"/>
      <c r="AD830" s="350"/>
      <c r="AE830" s="350"/>
      <c r="AF830" s="350"/>
      <c r="AG830" s="350"/>
      <c r="AH830" s="350"/>
      <c r="AI830" s="350"/>
    </row>
    <row r="831" spans="24:35">
      <c r="X831" s="350"/>
      <c r="Y831" s="350"/>
      <c r="Z831" s="350"/>
      <c r="AA831" s="350"/>
      <c r="AB831" s="350"/>
      <c r="AC831" s="350"/>
      <c r="AD831" s="350"/>
      <c r="AE831" s="350"/>
      <c r="AF831" s="350"/>
      <c r="AG831" s="350"/>
      <c r="AH831" s="350"/>
      <c r="AI831" s="350"/>
    </row>
    <row r="832" spans="24:35">
      <c r="X832" s="350"/>
      <c r="Y832" s="350"/>
      <c r="Z832" s="350"/>
      <c r="AA832" s="350"/>
      <c r="AB832" s="350"/>
      <c r="AC832" s="350"/>
      <c r="AD832" s="350"/>
      <c r="AE832" s="350"/>
      <c r="AF832" s="350"/>
      <c r="AG832" s="350"/>
      <c r="AH832" s="350"/>
      <c r="AI832" s="350"/>
    </row>
    <row r="833" spans="24:35">
      <c r="X833" s="350"/>
      <c r="Y833" s="350"/>
      <c r="Z833" s="350"/>
      <c r="AA833" s="350"/>
      <c r="AB833" s="350"/>
      <c r="AC833" s="350"/>
      <c r="AD833" s="350"/>
      <c r="AE833" s="350"/>
      <c r="AF833" s="350"/>
      <c r="AG833" s="350"/>
      <c r="AH833" s="350"/>
      <c r="AI833" s="350"/>
    </row>
    <row r="834" spans="24:35">
      <c r="X834" s="350"/>
      <c r="Y834" s="350"/>
      <c r="Z834" s="350"/>
      <c r="AA834" s="350"/>
      <c r="AB834" s="350"/>
      <c r="AC834" s="350"/>
      <c r="AD834" s="350"/>
      <c r="AE834" s="350"/>
      <c r="AF834" s="350"/>
      <c r="AG834" s="350"/>
      <c r="AH834" s="350"/>
      <c r="AI834" s="350"/>
    </row>
    <row r="835" spans="24:35">
      <c r="X835" s="350"/>
      <c r="Y835" s="350"/>
      <c r="Z835" s="350"/>
      <c r="AA835" s="350"/>
      <c r="AB835" s="350"/>
      <c r="AC835" s="350"/>
      <c r="AD835" s="350"/>
      <c r="AE835" s="350"/>
      <c r="AF835" s="350"/>
      <c r="AG835" s="350"/>
      <c r="AH835" s="350"/>
      <c r="AI835" s="350"/>
    </row>
    <row r="836" spans="24:35">
      <c r="X836" s="350"/>
      <c r="Y836" s="350"/>
      <c r="Z836" s="350"/>
      <c r="AA836" s="350"/>
      <c r="AB836" s="350"/>
      <c r="AC836" s="350"/>
      <c r="AD836" s="350"/>
      <c r="AE836" s="350"/>
      <c r="AF836" s="350"/>
      <c r="AG836" s="350"/>
      <c r="AH836" s="350"/>
      <c r="AI836" s="350"/>
    </row>
    <row r="837" spans="24:35">
      <c r="X837" s="350"/>
      <c r="Y837" s="350"/>
      <c r="Z837" s="350"/>
      <c r="AA837" s="350"/>
      <c r="AB837" s="350"/>
      <c r="AC837" s="350"/>
      <c r="AD837" s="350"/>
      <c r="AE837" s="350"/>
      <c r="AF837" s="350"/>
      <c r="AG837" s="350"/>
      <c r="AH837" s="350"/>
      <c r="AI837" s="350"/>
    </row>
    <row r="838" spans="24:35">
      <c r="X838" s="350"/>
      <c r="Y838" s="350"/>
      <c r="Z838" s="350"/>
      <c r="AA838" s="350"/>
      <c r="AB838" s="350"/>
      <c r="AC838" s="350"/>
      <c r="AD838" s="350"/>
      <c r="AE838" s="350"/>
      <c r="AF838" s="350"/>
      <c r="AG838" s="350"/>
      <c r="AH838" s="350"/>
      <c r="AI838" s="350"/>
    </row>
    <row r="839" spans="24:35">
      <c r="X839" s="350"/>
      <c r="Y839" s="350"/>
      <c r="Z839" s="350"/>
      <c r="AA839" s="350"/>
      <c r="AB839" s="350"/>
      <c r="AC839" s="350"/>
      <c r="AD839" s="350"/>
      <c r="AE839" s="350"/>
      <c r="AF839" s="350"/>
      <c r="AG839" s="350"/>
      <c r="AH839" s="350"/>
      <c r="AI839" s="350"/>
    </row>
    <row r="840" spans="24:35">
      <c r="X840" s="350"/>
      <c r="Y840" s="350"/>
      <c r="Z840" s="350"/>
      <c r="AA840" s="350"/>
      <c r="AB840" s="350"/>
      <c r="AC840" s="350"/>
      <c r="AD840" s="350"/>
      <c r="AE840" s="350"/>
      <c r="AF840" s="350"/>
      <c r="AG840" s="350"/>
      <c r="AH840" s="350"/>
      <c r="AI840" s="350"/>
    </row>
    <row r="841" spans="24:35">
      <c r="X841" s="350"/>
      <c r="Y841" s="350"/>
      <c r="Z841" s="350"/>
      <c r="AA841" s="350"/>
      <c r="AB841" s="350"/>
      <c r="AC841" s="350"/>
      <c r="AD841" s="350"/>
      <c r="AE841" s="350"/>
      <c r="AF841" s="350"/>
      <c r="AG841" s="350"/>
      <c r="AH841" s="350"/>
      <c r="AI841" s="350"/>
    </row>
    <row r="842" spans="24:35">
      <c r="X842" s="350"/>
      <c r="Y842" s="350"/>
      <c r="Z842" s="350"/>
      <c r="AA842" s="350"/>
      <c r="AB842" s="350"/>
      <c r="AC842" s="350"/>
      <c r="AD842" s="350"/>
      <c r="AE842" s="350"/>
      <c r="AF842" s="350"/>
      <c r="AG842" s="350"/>
      <c r="AH842" s="350"/>
      <c r="AI842" s="350"/>
    </row>
    <row r="843" spans="24:35">
      <c r="X843" s="350"/>
      <c r="Y843" s="350"/>
      <c r="Z843" s="350"/>
      <c r="AA843" s="350"/>
      <c r="AB843" s="350"/>
      <c r="AC843" s="350"/>
      <c r="AD843" s="350"/>
      <c r="AE843" s="350"/>
      <c r="AF843" s="350"/>
      <c r="AG843" s="350"/>
      <c r="AH843" s="350"/>
      <c r="AI843" s="350"/>
    </row>
    <row r="844" spans="24:35">
      <c r="X844" s="350"/>
      <c r="Y844" s="350"/>
      <c r="Z844" s="350"/>
      <c r="AA844" s="350"/>
      <c r="AB844" s="350"/>
      <c r="AC844" s="350"/>
      <c r="AD844" s="350"/>
      <c r="AE844" s="350"/>
      <c r="AF844" s="350"/>
      <c r="AG844" s="350"/>
      <c r="AH844" s="350"/>
      <c r="AI844" s="350"/>
    </row>
    <row r="845" spans="24:35">
      <c r="X845" s="350"/>
      <c r="Y845" s="350"/>
      <c r="Z845" s="350"/>
      <c r="AA845" s="350"/>
      <c r="AB845" s="350"/>
      <c r="AC845" s="350"/>
      <c r="AD845" s="350"/>
      <c r="AE845" s="350"/>
      <c r="AF845" s="350"/>
      <c r="AG845" s="350"/>
      <c r="AH845" s="350"/>
      <c r="AI845" s="350"/>
    </row>
    <row r="846" spans="24:35">
      <c r="X846" s="350"/>
      <c r="Y846" s="350"/>
      <c r="Z846" s="350"/>
      <c r="AA846" s="350"/>
      <c r="AB846" s="350"/>
      <c r="AC846" s="350"/>
      <c r="AD846" s="350"/>
      <c r="AE846" s="350"/>
      <c r="AF846" s="350"/>
      <c r="AG846" s="350"/>
      <c r="AH846" s="350"/>
      <c r="AI846" s="350"/>
    </row>
    <row r="847" spans="24:35">
      <c r="X847" s="350"/>
      <c r="Y847" s="350"/>
      <c r="Z847" s="350"/>
      <c r="AA847" s="350"/>
      <c r="AB847" s="350"/>
      <c r="AC847" s="350"/>
      <c r="AD847" s="350"/>
      <c r="AE847" s="350"/>
      <c r="AF847" s="350"/>
      <c r="AG847" s="350"/>
      <c r="AH847" s="350"/>
      <c r="AI847" s="350"/>
    </row>
    <row r="848" spans="24:35">
      <c r="X848" s="350"/>
      <c r="Y848" s="350"/>
      <c r="Z848" s="350"/>
      <c r="AA848" s="350"/>
      <c r="AB848" s="350"/>
      <c r="AC848" s="350"/>
      <c r="AD848" s="350"/>
      <c r="AE848" s="350"/>
      <c r="AF848" s="350"/>
      <c r="AG848" s="350"/>
      <c r="AH848" s="350"/>
      <c r="AI848" s="350"/>
    </row>
    <row r="849" spans="24:35">
      <c r="X849" s="350"/>
      <c r="Y849" s="350"/>
      <c r="Z849" s="350"/>
      <c r="AA849" s="350"/>
      <c r="AB849" s="350"/>
      <c r="AC849" s="350"/>
      <c r="AD849" s="350"/>
      <c r="AE849" s="350"/>
      <c r="AF849" s="350"/>
      <c r="AG849" s="350"/>
      <c r="AH849" s="350"/>
      <c r="AI849" s="350"/>
    </row>
    <row r="850" spans="24:35">
      <c r="X850" s="350"/>
      <c r="Y850" s="350"/>
      <c r="Z850" s="350"/>
      <c r="AA850" s="350"/>
      <c r="AB850" s="350"/>
      <c r="AC850" s="350"/>
      <c r="AD850" s="350"/>
      <c r="AE850" s="350"/>
      <c r="AF850" s="350"/>
      <c r="AG850" s="350"/>
      <c r="AH850" s="350"/>
      <c r="AI850" s="350"/>
    </row>
    <row r="851" spans="24:35">
      <c r="X851" s="350"/>
      <c r="Y851" s="350"/>
      <c r="Z851" s="350"/>
      <c r="AA851" s="350"/>
      <c r="AB851" s="350"/>
      <c r="AC851" s="350"/>
      <c r="AD851" s="350"/>
      <c r="AE851" s="350"/>
      <c r="AF851" s="350"/>
      <c r="AG851" s="350"/>
      <c r="AH851" s="350"/>
      <c r="AI851" s="350"/>
    </row>
    <row r="852" spans="24:35">
      <c r="X852" s="350"/>
      <c r="Y852" s="350"/>
      <c r="Z852" s="350"/>
      <c r="AA852" s="350"/>
      <c r="AB852" s="350"/>
      <c r="AC852" s="350"/>
      <c r="AD852" s="350"/>
      <c r="AE852" s="350"/>
      <c r="AF852" s="350"/>
      <c r="AG852" s="350"/>
      <c r="AH852" s="350"/>
      <c r="AI852" s="350"/>
    </row>
    <row r="853" spans="24:35">
      <c r="X853" s="350"/>
      <c r="Y853" s="350"/>
      <c r="Z853" s="350"/>
      <c r="AA853" s="350"/>
      <c r="AB853" s="350"/>
      <c r="AC853" s="350"/>
      <c r="AD853" s="350"/>
      <c r="AE853" s="350"/>
      <c r="AF853" s="350"/>
      <c r="AG853" s="350"/>
      <c r="AH853" s="350"/>
      <c r="AI853" s="350"/>
    </row>
    <row r="854" spans="24:35">
      <c r="X854" s="350"/>
      <c r="Y854" s="350"/>
      <c r="Z854" s="350"/>
      <c r="AA854" s="350"/>
      <c r="AB854" s="350"/>
      <c r="AC854" s="350"/>
      <c r="AD854" s="350"/>
      <c r="AE854" s="350"/>
      <c r="AF854" s="350"/>
      <c r="AG854" s="350"/>
      <c r="AH854" s="350"/>
      <c r="AI854" s="350"/>
    </row>
    <row r="855" spans="24:35">
      <c r="X855" s="350"/>
      <c r="Y855" s="350"/>
      <c r="Z855" s="350"/>
      <c r="AA855" s="350"/>
      <c r="AB855" s="350"/>
      <c r="AC855" s="350"/>
      <c r="AD855" s="350"/>
      <c r="AE855" s="350"/>
      <c r="AF855" s="350"/>
      <c r="AG855" s="350"/>
      <c r="AH855" s="350"/>
      <c r="AI855" s="350"/>
    </row>
    <row r="856" spans="24:35">
      <c r="X856" s="350"/>
      <c r="Y856" s="350"/>
      <c r="Z856" s="350"/>
      <c r="AA856" s="350"/>
      <c r="AB856" s="350"/>
      <c r="AC856" s="350"/>
      <c r="AD856" s="350"/>
      <c r="AE856" s="350"/>
      <c r="AF856" s="350"/>
      <c r="AG856" s="350"/>
      <c r="AH856" s="350"/>
      <c r="AI856" s="350"/>
    </row>
    <row r="857" spans="24:35">
      <c r="X857" s="350"/>
      <c r="Y857" s="350"/>
      <c r="Z857" s="350"/>
      <c r="AA857" s="350"/>
      <c r="AB857" s="350"/>
      <c r="AC857" s="350"/>
      <c r="AD857" s="350"/>
      <c r="AE857" s="350"/>
      <c r="AF857" s="350"/>
      <c r="AG857" s="350"/>
      <c r="AH857" s="350"/>
      <c r="AI857" s="350"/>
    </row>
    <row r="858" spans="24:35">
      <c r="X858" s="350"/>
      <c r="Y858" s="350"/>
      <c r="Z858" s="350"/>
      <c r="AA858" s="350"/>
      <c r="AB858" s="350"/>
      <c r="AC858" s="350"/>
      <c r="AD858" s="350"/>
      <c r="AE858" s="350"/>
      <c r="AF858" s="350"/>
      <c r="AG858" s="350"/>
      <c r="AH858" s="350"/>
      <c r="AI858" s="350"/>
    </row>
    <row r="859" spans="24:35">
      <c r="X859" s="350"/>
      <c r="Y859" s="350"/>
      <c r="Z859" s="350"/>
      <c r="AA859" s="350"/>
      <c r="AB859" s="350"/>
      <c r="AC859" s="350"/>
      <c r="AD859" s="350"/>
      <c r="AE859" s="350"/>
      <c r="AF859" s="350"/>
      <c r="AG859" s="350"/>
      <c r="AH859" s="350"/>
      <c r="AI859" s="350"/>
    </row>
    <row r="860" spans="24:35">
      <c r="X860" s="350"/>
      <c r="Y860" s="350"/>
      <c r="Z860" s="350"/>
      <c r="AA860" s="350"/>
      <c r="AB860" s="350"/>
      <c r="AC860" s="350"/>
      <c r="AD860" s="350"/>
      <c r="AE860" s="350"/>
      <c r="AF860" s="350"/>
      <c r="AG860" s="350"/>
      <c r="AH860" s="350"/>
      <c r="AI860" s="350"/>
    </row>
    <row r="861" spans="24:35">
      <c r="X861" s="350"/>
      <c r="Y861" s="350"/>
      <c r="Z861" s="350"/>
      <c r="AA861" s="350"/>
      <c r="AB861" s="350"/>
      <c r="AC861" s="350"/>
      <c r="AD861" s="350"/>
      <c r="AE861" s="350"/>
      <c r="AF861" s="350"/>
      <c r="AG861" s="350"/>
      <c r="AH861" s="350"/>
      <c r="AI861" s="350"/>
    </row>
    <row r="862" spans="24:35">
      <c r="X862" s="350"/>
      <c r="Y862" s="350"/>
      <c r="Z862" s="350"/>
      <c r="AA862" s="350"/>
      <c r="AB862" s="350"/>
      <c r="AC862" s="350"/>
      <c r="AD862" s="350"/>
      <c r="AE862" s="350"/>
      <c r="AF862" s="350"/>
      <c r="AG862" s="350"/>
      <c r="AH862" s="350"/>
      <c r="AI862" s="350"/>
    </row>
    <row r="863" spans="24:35">
      <c r="X863" s="350"/>
      <c r="Y863" s="350"/>
      <c r="Z863" s="350"/>
      <c r="AA863" s="350"/>
      <c r="AB863" s="350"/>
      <c r="AC863" s="350"/>
      <c r="AD863" s="350"/>
      <c r="AE863" s="350"/>
      <c r="AF863" s="350"/>
      <c r="AG863" s="350"/>
      <c r="AH863" s="350"/>
      <c r="AI863" s="350"/>
    </row>
    <row r="864" spans="24:35">
      <c r="X864" s="350"/>
      <c r="Y864" s="350"/>
      <c r="Z864" s="350"/>
      <c r="AA864" s="350"/>
      <c r="AB864" s="350"/>
      <c r="AC864" s="350"/>
      <c r="AD864" s="350"/>
      <c r="AE864" s="350"/>
      <c r="AF864" s="350"/>
      <c r="AG864" s="350"/>
      <c r="AH864" s="350"/>
      <c r="AI864" s="350"/>
    </row>
    <row r="865" spans="24:35">
      <c r="X865" s="350"/>
      <c r="Y865" s="350"/>
      <c r="Z865" s="350"/>
      <c r="AA865" s="350"/>
      <c r="AB865" s="350"/>
      <c r="AC865" s="350"/>
      <c r="AD865" s="350"/>
      <c r="AE865" s="350"/>
      <c r="AF865" s="350"/>
      <c r="AG865" s="350"/>
      <c r="AH865" s="350"/>
      <c r="AI865" s="350"/>
    </row>
    <row r="866" spans="24:35">
      <c r="X866" s="350"/>
      <c r="Y866" s="350"/>
      <c r="Z866" s="350"/>
      <c r="AA866" s="350"/>
      <c r="AB866" s="350"/>
      <c r="AC866" s="350"/>
      <c r="AD866" s="350"/>
      <c r="AE866" s="350"/>
      <c r="AF866" s="350"/>
      <c r="AG866" s="350"/>
      <c r="AH866" s="350"/>
      <c r="AI866" s="350"/>
    </row>
    <row r="867" spans="24:35">
      <c r="X867" s="350"/>
      <c r="Y867" s="350"/>
      <c r="Z867" s="350"/>
      <c r="AA867" s="350"/>
      <c r="AB867" s="350"/>
      <c r="AC867" s="350"/>
      <c r="AD867" s="350"/>
      <c r="AE867" s="350"/>
      <c r="AF867" s="350"/>
      <c r="AG867" s="350"/>
      <c r="AH867" s="350"/>
      <c r="AI867" s="350"/>
    </row>
    <row r="868" spans="24:35">
      <c r="X868" s="350"/>
      <c r="Y868" s="350"/>
      <c r="Z868" s="350"/>
      <c r="AA868" s="350"/>
      <c r="AB868" s="350"/>
      <c r="AC868" s="350"/>
      <c r="AD868" s="350"/>
      <c r="AE868" s="350"/>
      <c r="AF868" s="350"/>
      <c r="AG868" s="350"/>
      <c r="AH868" s="350"/>
      <c r="AI868" s="350"/>
    </row>
    <row r="869" spans="24:35">
      <c r="X869" s="350"/>
      <c r="Y869" s="350"/>
      <c r="Z869" s="350"/>
      <c r="AA869" s="350"/>
      <c r="AB869" s="350"/>
      <c r="AC869" s="350"/>
      <c r="AD869" s="350"/>
      <c r="AE869" s="350"/>
      <c r="AF869" s="350"/>
      <c r="AG869" s="350"/>
      <c r="AH869" s="350"/>
      <c r="AI869" s="350"/>
    </row>
    <row r="870" spans="24:35">
      <c r="X870" s="350"/>
      <c r="Y870" s="350"/>
      <c r="Z870" s="350"/>
      <c r="AA870" s="350"/>
      <c r="AB870" s="350"/>
      <c r="AC870" s="350"/>
      <c r="AD870" s="350"/>
      <c r="AE870" s="350"/>
      <c r="AF870" s="350"/>
      <c r="AG870" s="350"/>
      <c r="AH870" s="350"/>
      <c r="AI870" s="350"/>
    </row>
    <row r="871" spans="24:35">
      <c r="X871" s="350"/>
      <c r="Y871" s="350"/>
      <c r="Z871" s="350"/>
      <c r="AA871" s="350"/>
      <c r="AB871" s="350"/>
      <c r="AC871" s="350"/>
      <c r="AD871" s="350"/>
      <c r="AE871" s="350"/>
      <c r="AF871" s="350"/>
      <c r="AG871" s="350"/>
      <c r="AH871" s="350"/>
      <c r="AI871" s="350"/>
    </row>
    <row r="872" spans="24:35">
      <c r="X872" s="350"/>
      <c r="Y872" s="350"/>
      <c r="Z872" s="350"/>
      <c r="AA872" s="350"/>
      <c r="AB872" s="350"/>
      <c r="AC872" s="350"/>
      <c r="AD872" s="350"/>
      <c r="AE872" s="350"/>
      <c r="AF872" s="350"/>
      <c r="AG872" s="350"/>
      <c r="AH872" s="350"/>
      <c r="AI872" s="350"/>
    </row>
    <row r="873" spans="24:35">
      <c r="X873" s="350"/>
      <c r="Y873" s="350"/>
      <c r="Z873" s="350"/>
      <c r="AA873" s="350"/>
      <c r="AB873" s="350"/>
      <c r="AC873" s="350"/>
      <c r="AD873" s="350"/>
      <c r="AE873" s="350"/>
      <c r="AF873" s="350"/>
      <c r="AG873" s="350"/>
      <c r="AH873" s="350"/>
      <c r="AI873" s="350"/>
    </row>
    <row r="874" spans="24:35">
      <c r="X874" s="350"/>
      <c r="Y874" s="350"/>
      <c r="Z874" s="350"/>
      <c r="AA874" s="350"/>
      <c r="AB874" s="350"/>
      <c r="AC874" s="350"/>
      <c r="AD874" s="350"/>
      <c r="AE874" s="350"/>
      <c r="AF874" s="350"/>
      <c r="AG874" s="350"/>
      <c r="AH874" s="350"/>
      <c r="AI874" s="350"/>
    </row>
    <row r="875" spans="24:35">
      <c r="X875" s="350"/>
      <c r="Y875" s="350"/>
      <c r="Z875" s="350"/>
      <c r="AA875" s="350"/>
      <c r="AB875" s="350"/>
      <c r="AC875" s="350"/>
      <c r="AD875" s="350"/>
      <c r="AE875" s="350"/>
      <c r="AF875" s="350"/>
      <c r="AG875" s="350"/>
      <c r="AH875" s="350"/>
      <c r="AI875" s="350"/>
    </row>
    <row r="876" spans="24:35">
      <c r="X876" s="350"/>
      <c r="Y876" s="350"/>
      <c r="Z876" s="350"/>
      <c r="AA876" s="350"/>
      <c r="AB876" s="350"/>
      <c r="AC876" s="350"/>
      <c r="AD876" s="350"/>
      <c r="AE876" s="350"/>
      <c r="AF876" s="350"/>
      <c r="AG876" s="350"/>
      <c r="AH876" s="350"/>
      <c r="AI876" s="350"/>
    </row>
    <row r="877" spans="24:35">
      <c r="X877" s="350"/>
      <c r="Y877" s="350"/>
      <c r="Z877" s="350"/>
      <c r="AA877" s="350"/>
      <c r="AB877" s="350"/>
      <c r="AC877" s="350"/>
      <c r="AD877" s="350"/>
      <c r="AE877" s="350"/>
      <c r="AF877" s="350"/>
      <c r="AG877" s="350"/>
      <c r="AH877" s="350"/>
      <c r="AI877" s="350"/>
    </row>
    <row r="878" spans="24:35">
      <c r="X878" s="350"/>
      <c r="Y878" s="350"/>
      <c r="Z878" s="350"/>
      <c r="AA878" s="350"/>
      <c r="AB878" s="350"/>
      <c r="AC878" s="350"/>
      <c r="AD878" s="350"/>
      <c r="AE878" s="350"/>
      <c r="AF878" s="350"/>
      <c r="AG878" s="350"/>
      <c r="AH878" s="350"/>
      <c r="AI878" s="350"/>
    </row>
    <row r="879" spans="24:35">
      <c r="X879" s="350"/>
      <c r="Y879" s="350"/>
      <c r="Z879" s="350"/>
      <c r="AA879" s="350"/>
      <c r="AB879" s="350"/>
      <c r="AC879" s="350"/>
      <c r="AD879" s="350"/>
      <c r="AE879" s="350"/>
      <c r="AF879" s="350"/>
      <c r="AG879" s="350"/>
      <c r="AH879" s="350"/>
      <c r="AI879" s="350"/>
    </row>
    <row r="880" spans="24:35">
      <c r="X880" s="350"/>
      <c r="Y880" s="350"/>
      <c r="Z880" s="350"/>
      <c r="AA880" s="350"/>
      <c r="AB880" s="350"/>
      <c r="AC880" s="350"/>
      <c r="AD880" s="350"/>
      <c r="AE880" s="350"/>
      <c r="AF880" s="350"/>
      <c r="AG880" s="350"/>
      <c r="AH880" s="350"/>
      <c r="AI880" s="350"/>
    </row>
    <row r="881" spans="24:35">
      <c r="X881" s="350"/>
      <c r="Y881" s="350"/>
      <c r="Z881" s="350"/>
      <c r="AA881" s="350"/>
      <c r="AB881" s="350"/>
      <c r="AC881" s="350"/>
      <c r="AD881" s="350"/>
      <c r="AE881" s="350"/>
      <c r="AF881" s="350"/>
      <c r="AG881" s="350"/>
      <c r="AH881" s="350"/>
      <c r="AI881" s="350"/>
    </row>
    <row r="882" spans="24:35">
      <c r="X882" s="350"/>
      <c r="Y882" s="350"/>
      <c r="Z882" s="350"/>
      <c r="AA882" s="350"/>
      <c r="AB882" s="350"/>
      <c r="AC882" s="350"/>
      <c r="AD882" s="350"/>
      <c r="AE882" s="350"/>
      <c r="AF882" s="350"/>
      <c r="AG882" s="350"/>
      <c r="AH882" s="350"/>
      <c r="AI882" s="350"/>
    </row>
    <row r="883" spans="24:35">
      <c r="X883" s="350"/>
      <c r="Y883" s="350"/>
      <c r="Z883" s="350"/>
      <c r="AA883" s="350"/>
      <c r="AB883" s="350"/>
      <c r="AC883" s="350"/>
      <c r="AD883" s="350"/>
      <c r="AE883" s="350"/>
      <c r="AF883" s="350"/>
      <c r="AG883" s="350"/>
      <c r="AH883" s="350"/>
      <c r="AI883" s="350"/>
    </row>
    <row r="884" spans="24:35">
      <c r="X884" s="350"/>
      <c r="Y884" s="350"/>
      <c r="Z884" s="350"/>
      <c r="AA884" s="350"/>
      <c r="AB884" s="350"/>
      <c r="AC884" s="350"/>
      <c r="AD884" s="350"/>
      <c r="AE884" s="350"/>
      <c r="AF884" s="350"/>
      <c r="AG884" s="350"/>
      <c r="AH884" s="350"/>
      <c r="AI884" s="350"/>
    </row>
    <row r="885" spans="24:35">
      <c r="X885" s="350"/>
      <c r="Y885" s="350"/>
      <c r="Z885" s="350"/>
      <c r="AA885" s="350"/>
      <c r="AB885" s="350"/>
      <c r="AC885" s="350"/>
      <c r="AD885" s="350"/>
      <c r="AE885" s="350"/>
      <c r="AF885" s="350"/>
      <c r="AG885" s="350"/>
      <c r="AH885" s="350"/>
      <c r="AI885" s="350"/>
    </row>
    <row r="886" spans="24:35">
      <c r="X886" s="350"/>
      <c r="Y886" s="350"/>
      <c r="Z886" s="350"/>
      <c r="AA886" s="350"/>
      <c r="AB886" s="350"/>
      <c r="AC886" s="350"/>
      <c r="AD886" s="350"/>
      <c r="AE886" s="350"/>
      <c r="AF886" s="350"/>
      <c r="AG886" s="350"/>
      <c r="AH886" s="350"/>
      <c r="AI886" s="350"/>
    </row>
    <row r="887" spans="24:35">
      <c r="X887" s="350"/>
      <c r="Y887" s="350"/>
      <c r="Z887" s="350"/>
      <c r="AA887" s="350"/>
      <c r="AB887" s="350"/>
      <c r="AC887" s="350"/>
      <c r="AD887" s="350"/>
      <c r="AE887" s="350"/>
      <c r="AF887" s="350"/>
      <c r="AG887" s="350"/>
      <c r="AH887" s="350"/>
      <c r="AI887" s="350"/>
    </row>
    <row r="888" spans="24:35">
      <c r="X888" s="350"/>
      <c r="Y888" s="350"/>
      <c r="Z888" s="350"/>
      <c r="AA888" s="350"/>
      <c r="AB888" s="350"/>
      <c r="AC888" s="350"/>
      <c r="AD888" s="350"/>
      <c r="AE888" s="350"/>
      <c r="AF888" s="350"/>
      <c r="AG888" s="350"/>
      <c r="AH888" s="350"/>
      <c r="AI888" s="350"/>
    </row>
    <row r="889" spans="24:35">
      <c r="X889" s="350"/>
      <c r="Y889" s="350"/>
      <c r="Z889" s="350"/>
      <c r="AA889" s="350"/>
      <c r="AB889" s="350"/>
      <c r="AC889" s="350"/>
      <c r="AD889" s="350"/>
      <c r="AE889" s="350"/>
      <c r="AF889" s="350"/>
      <c r="AG889" s="350"/>
      <c r="AH889" s="350"/>
      <c r="AI889" s="350"/>
    </row>
    <row r="890" spans="24:35">
      <c r="X890" s="350"/>
      <c r="Y890" s="350"/>
      <c r="Z890" s="350"/>
      <c r="AA890" s="350"/>
      <c r="AB890" s="350"/>
      <c r="AC890" s="350"/>
      <c r="AD890" s="350"/>
      <c r="AE890" s="350"/>
      <c r="AF890" s="350"/>
      <c r="AG890" s="350"/>
      <c r="AH890" s="350"/>
      <c r="AI890" s="350"/>
    </row>
    <row r="891" spans="24:35">
      <c r="X891" s="350"/>
      <c r="Y891" s="350"/>
      <c r="Z891" s="350"/>
      <c r="AA891" s="350"/>
      <c r="AB891" s="350"/>
      <c r="AC891" s="350"/>
      <c r="AD891" s="350"/>
      <c r="AE891" s="350"/>
      <c r="AF891" s="350"/>
      <c r="AG891" s="350"/>
      <c r="AH891" s="350"/>
      <c r="AI891" s="350"/>
    </row>
    <row r="892" spans="24:35">
      <c r="X892" s="350"/>
      <c r="Y892" s="350"/>
      <c r="Z892" s="350"/>
      <c r="AA892" s="350"/>
      <c r="AB892" s="350"/>
      <c r="AC892" s="350"/>
      <c r="AD892" s="350"/>
      <c r="AE892" s="350"/>
      <c r="AF892" s="350"/>
      <c r="AG892" s="350"/>
      <c r="AH892" s="350"/>
      <c r="AI892" s="350"/>
    </row>
    <row r="893" spans="24:35">
      <c r="X893" s="350"/>
      <c r="Y893" s="350"/>
      <c r="Z893" s="350"/>
      <c r="AA893" s="350"/>
      <c r="AB893" s="350"/>
      <c r="AC893" s="350"/>
      <c r="AD893" s="350"/>
      <c r="AE893" s="350"/>
      <c r="AF893" s="350"/>
      <c r="AG893" s="350"/>
      <c r="AH893" s="350"/>
      <c r="AI893" s="350"/>
    </row>
    <row r="894" spans="24:35">
      <c r="X894" s="350"/>
      <c r="Y894" s="350"/>
      <c r="Z894" s="350"/>
      <c r="AA894" s="350"/>
      <c r="AB894" s="350"/>
      <c r="AC894" s="350"/>
      <c r="AD894" s="350"/>
      <c r="AE894" s="350"/>
      <c r="AF894" s="350"/>
      <c r="AG894" s="350"/>
      <c r="AH894" s="350"/>
      <c r="AI894" s="350"/>
    </row>
    <row r="895" spans="24:35">
      <c r="X895" s="350"/>
      <c r="Y895" s="350"/>
      <c r="Z895" s="350"/>
      <c r="AA895" s="350"/>
      <c r="AB895" s="350"/>
      <c r="AC895" s="350"/>
      <c r="AD895" s="350"/>
      <c r="AE895" s="350"/>
      <c r="AF895" s="350"/>
      <c r="AG895" s="350"/>
      <c r="AH895" s="350"/>
      <c r="AI895" s="350"/>
    </row>
    <row r="896" spans="24:35">
      <c r="X896" s="350"/>
      <c r="Y896" s="350"/>
      <c r="Z896" s="350"/>
      <c r="AA896" s="350"/>
      <c r="AB896" s="350"/>
      <c r="AC896" s="350"/>
      <c r="AD896" s="350"/>
      <c r="AE896" s="350"/>
      <c r="AF896" s="350"/>
      <c r="AG896" s="350"/>
      <c r="AH896" s="350"/>
      <c r="AI896" s="350"/>
    </row>
    <row r="897" spans="24:35">
      <c r="X897" s="350"/>
      <c r="Y897" s="350"/>
      <c r="Z897" s="350"/>
      <c r="AA897" s="350"/>
      <c r="AB897" s="350"/>
      <c r="AC897" s="350"/>
      <c r="AD897" s="350"/>
      <c r="AE897" s="350"/>
      <c r="AF897" s="350"/>
      <c r="AG897" s="350"/>
      <c r="AH897" s="350"/>
      <c r="AI897" s="350"/>
    </row>
    <row r="898" spans="24:35">
      <c r="X898" s="350"/>
      <c r="Y898" s="350"/>
      <c r="Z898" s="350"/>
      <c r="AA898" s="350"/>
      <c r="AB898" s="350"/>
      <c r="AC898" s="350"/>
      <c r="AD898" s="350"/>
      <c r="AE898" s="350"/>
      <c r="AF898" s="350"/>
      <c r="AG898" s="350"/>
      <c r="AH898" s="350"/>
      <c r="AI898" s="350"/>
    </row>
    <row r="899" spans="24:35">
      <c r="X899" s="350"/>
      <c r="Y899" s="350"/>
      <c r="Z899" s="350"/>
      <c r="AA899" s="350"/>
      <c r="AB899" s="350"/>
      <c r="AC899" s="350"/>
      <c r="AD899" s="350"/>
      <c r="AE899" s="350"/>
      <c r="AF899" s="350"/>
      <c r="AG899" s="350"/>
      <c r="AH899" s="350"/>
      <c r="AI899" s="350"/>
    </row>
    <row r="900" spans="24:35">
      <c r="X900" s="350"/>
      <c r="Y900" s="350"/>
      <c r="Z900" s="350"/>
      <c r="AA900" s="350"/>
      <c r="AB900" s="350"/>
      <c r="AC900" s="350"/>
      <c r="AD900" s="350"/>
      <c r="AE900" s="350"/>
      <c r="AF900" s="350"/>
      <c r="AG900" s="350"/>
      <c r="AH900" s="350"/>
      <c r="AI900" s="350"/>
    </row>
    <row r="901" spans="24:35">
      <c r="X901" s="350"/>
      <c r="Y901" s="350"/>
      <c r="Z901" s="350"/>
      <c r="AA901" s="350"/>
      <c r="AB901" s="350"/>
      <c r="AC901" s="350"/>
      <c r="AD901" s="350"/>
      <c r="AE901" s="350"/>
      <c r="AF901" s="350"/>
      <c r="AG901" s="350"/>
      <c r="AH901" s="350"/>
      <c r="AI901" s="350"/>
    </row>
    <row r="902" spans="24:35">
      <c r="X902" s="350"/>
      <c r="Y902" s="350"/>
      <c r="Z902" s="350"/>
      <c r="AA902" s="350"/>
      <c r="AB902" s="350"/>
      <c r="AC902" s="350"/>
      <c r="AD902" s="350"/>
      <c r="AE902" s="350"/>
      <c r="AF902" s="350"/>
      <c r="AG902" s="350"/>
      <c r="AH902" s="350"/>
      <c r="AI902" s="350"/>
    </row>
    <row r="903" spans="24:35">
      <c r="X903" s="350"/>
      <c r="Y903" s="350"/>
      <c r="Z903" s="350"/>
      <c r="AA903" s="350"/>
      <c r="AB903" s="350"/>
      <c r="AC903" s="350"/>
      <c r="AD903" s="350"/>
      <c r="AE903" s="350"/>
      <c r="AF903" s="350"/>
      <c r="AG903" s="350"/>
      <c r="AH903" s="350"/>
      <c r="AI903" s="350"/>
    </row>
    <row r="904" spans="24:35">
      <c r="X904" s="350"/>
      <c r="Y904" s="350"/>
      <c r="Z904" s="350"/>
      <c r="AA904" s="350"/>
      <c r="AB904" s="350"/>
      <c r="AC904" s="350"/>
      <c r="AD904" s="350"/>
      <c r="AE904" s="350"/>
      <c r="AF904" s="350"/>
      <c r="AG904" s="350"/>
      <c r="AH904" s="350"/>
      <c r="AI904" s="350"/>
    </row>
    <row r="905" spans="24:35">
      <c r="X905" s="350"/>
      <c r="Y905" s="350"/>
      <c r="Z905" s="350"/>
      <c r="AA905" s="350"/>
      <c r="AB905" s="350"/>
      <c r="AC905" s="350"/>
      <c r="AD905" s="350"/>
      <c r="AE905" s="350"/>
      <c r="AF905" s="350"/>
      <c r="AG905" s="350"/>
      <c r="AH905" s="350"/>
      <c r="AI905" s="350"/>
    </row>
    <row r="906" spans="24:35">
      <c r="X906" s="350"/>
      <c r="Y906" s="350"/>
      <c r="Z906" s="350"/>
      <c r="AA906" s="350"/>
      <c r="AB906" s="350"/>
      <c r="AC906" s="350"/>
      <c r="AD906" s="350"/>
      <c r="AE906" s="350"/>
      <c r="AF906" s="350"/>
      <c r="AG906" s="350"/>
      <c r="AH906" s="350"/>
      <c r="AI906" s="350"/>
    </row>
    <row r="907" spans="24:35">
      <c r="X907" s="350"/>
      <c r="Y907" s="350"/>
      <c r="Z907" s="350"/>
      <c r="AA907" s="350"/>
      <c r="AB907" s="350"/>
      <c r="AC907" s="350"/>
      <c r="AD907" s="350"/>
      <c r="AE907" s="350"/>
      <c r="AF907" s="350"/>
      <c r="AG907" s="350"/>
      <c r="AH907" s="350"/>
      <c r="AI907" s="350"/>
    </row>
    <row r="908" spans="24:35">
      <c r="X908" s="350"/>
      <c r="Y908" s="350"/>
      <c r="Z908" s="350"/>
      <c r="AA908" s="350"/>
      <c r="AB908" s="350"/>
      <c r="AC908" s="350"/>
      <c r="AD908" s="350"/>
      <c r="AE908" s="350"/>
      <c r="AF908" s="350"/>
      <c r="AG908" s="350"/>
      <c r="AH908" s="350"/>
      <c r="AI908" s="350"/>
    </row>
    <row r="909" spans="24:35">
      <c r="X909" s="350"/>
      <c r="Y909" s="350"/>
      <c r="Z909" s="350"/>
      <c r="AA909" s="350"/>
      <c r="AB909" s="350"/>
      <c r="AC909" s="350"/>
      <c r="AD909" s="350"/>
      <c r="AE909" s="350"/>
      <c r="AF909" s="350"/>
      <c r="AG909" s="350"/>
      <c r="AH909" s="350"/>
      <c r="AI909" s="350"/>
    </row>
    <row r="910" spans="24:35">
      <c r="X910" s="350"/>
      <c r="Y910" s="350"/>
      <c r="Z910" s="350"/>
      <c r="AA910" s="350"/>
      <c r="AB910" s="350"/>
      <c r="AC910" s="350"/>
      <c r="AD910" s="350"/>
      <c r="AE910" s="350"/>
      <c r="AF910" s="350"/>
      <c r="AG910" s="350"/>
      <c r="AH910" s="350"/>
      <c r="AI910" s="350"/>
    </row>
    <row r="911" spans="24:35">
      <c r="X911" s="350"/>
      <c r="Y911" s="350"/>
      <c r="Z911" s="350"/>
      <c r="AA911" s="350"/>
      <c r="AB911" s="350"/>
      <c r="AC911" s="350"/>
      <c r="AD911" s="350"/>
      <c r="AE911" s="350"/>
      <c r="AF911" s="350"/>
      <c r="AG911" s="350"/>
      <c r="AH911" s="350"/>
      <c r="AI911" s="350"/>
    </row>
    <row r="912" spans="24:35">
      <c r="X912" s="350"/>
      <c r="Y912" s="350"/>
      <c r="Z912" s="350"/>
      <c r="AA912" s="350"/>
      <c r="AB912" s="350"/>
      <c r="AC912" s="350"/>
      <c r="AD912" s="350"/>
      <c r="AE912" s="350"/>
      <c r="AF912" s="350"/>
      <c r="AG912" s="350"/>
      <c r="AH912" s="350"/>
      <c r="AI912" s="350"/>
    </row>
    <row r="913" spans="24:35">
      <c r="X913" s="350"/>
      <c r="Y913" s="350"/>
      <c r="Z913" s="350"/>
      <c r="AA913" s="350"/>
      <c r="AB913" s="350"/>
      <c r="AC913" s="350"/>
      <c r="AD913" s="350"/>
      <c r="AE913" s="350"/>
      <c r="AF913" s="350"/>
      <c r="AG913" s="350"/>
      <c r="AH913" s="350"/>
      <c r="AI913" s="350"/>
    </row>
    <row r="914" spans="24:35">
      <c r="X914" s="350"/>
      <c r="Y914" s="350"/>
      <c r="Z914" s="350"/>
      <c r="AA914" s="350"/>
      <c r="AB914" s="350"/>
      <c r="AC914" s="350"/>
      <c r="AD914" s="350"/>
      <c r="AE914" s="350"/>
      <c r="AF914" s="350"/>
      <c r="AG914" s="350"/>
      <c r="AH914" s="350"/>
      <c r="AI914" s="350"/>
    </row>
    <row r="915" spans="24:35">
      <c r="X915" s="350"/>
      <c r="Y915" s="350"/>
      <c r="Z915" s="350"/>
      <c r="AA915" s="350"/>
      <c r="AB915" s="350"/>
      <c r="AC915" s="350"/>
      <c r="AD915" s="350"/>
      <c r="AE915" s="350"/>
      <c r="AF915" s="350"/>
      <c r="AG915" s="350"/>
      <c r="AH915" s="350"/>
      <c r="AI915" s="350"/>
    </row>
    <row r="916" spans="24:35">
      <c r="X916" s="350"/>
      <c r="Y916" s="350"/>
      <c r="Z916" s="350"/>
      <c r="AA916" s="350"/>
      <c r="AB916" s="350"/>
      <c r="AC916" s="350"/>
      <c r="AD916" s="350"/>
      <c r="AE916" s="350"/>
      <c r="AF916" s="350"/>
      <c r="AG916" s="350"/>
      <c r="AH916" s="350"/>
      <c r="AI916" s="350"/>
    </row>
    <row r="917" spans="24:35">
      <c r="X917" s="350"/>
      <c r="Y917" s="350"/>
      <c r="Z917" s="350"/>
      <c r="AA917" s="350"/>
      <c r="AB917" s="350"/>
      <c r="AC917" s="350"/>
      <c r="AD917" s="350"/>
      <c r="AE917" s="350"/>
      <c r="AF917" s="350"/>
      <c r="AG917" s="350"/>
      <c r="AH917" s="350"/>
      <c r="AI917" s="350"/>
    </row>
    <row r="918" spans="24:35">
      <c r="X918" s="350"/>
      <c r="Y918" s="350"/>
      <c r="Z918" s="350"/>
      <c r="AA918" s="350"/>
      <c r="AB918" s="350"/>
      <c r="AC918" s="350"/>
      <c r="AD918" s="350"/>
      <c r="AE918" s="350"/>
      <c r="AF918" s="350"/>
      <c r="AG918" s="350"/>
      <c r="AH918" s="350"/>
      <c r="AI918" s="350"/>
    </row>
    <row r="919" spans="24:35">
      <c r="X919" s="350"/>
      <c r="Y919" s="350"/>
      <c r="Z919" s="350"/>
      <c r="AA919" s="350"/>
      <c r="AB919" s="350"/>
      <c r="AC919" s="350"/>
      <c r="AD919" s="350"/>
      <c r="AE919" s="350"/>
      <c r="AF919" s="350"/>
      <c r="AG919" s="350"/>
      <c r="AH919" s="350"/>
      <c r="AI919" s="350"/>
    </row>
    <row r="920" spans="24:35">
      <c r="X920" s="350"/>
      <c r="Y920" s="350"/>
      <c r="Z920" s="350"/>
      <c r="AA920" s="350"/>
      <c r="AB920" s="350"/>
      <c r="AC920" s="350"/>
      <c r="AD920" s="350"/>
      <c r="AE920" s="350"/>
      <c r="AF920" s="350"/>
      <c r="AG920" s="350"/>
      <c r="AH920" s="350"/>
      <c r="AI920" s="350"/>
    </row>
    <row r="921" spans="24:35">
      <c r="X921" s="350"/>
      <c r="Y921" s="350"/>
      <c r="Z921" s="350"/>
      <c r="AA921" s="350"/>
      <c r="AB921" s="350"/>
      <c r="AC921" s="350"/>
      <c r="AD921" s="350"/>
      <c r="AE921" s="350"/>
      <c r="AF921" s="350"/>
      <c r="AG921" s="350"/>
      <c r="AH921" s="350"/>
      <c r="AI921" s="350"/>
    </row>
    <row r="922" spans="24:35">
      <c r="X922" s="350"/>
      <c r="Y922" s="350"/>
      <c r="Z922" s="350"/>
      <c r="AA922" s="350"/>
      <c r="AB922" s="350"/>
      <c r="AC922" s="350"/>
      <c r="AD922" s="350"/>
      <c r="AE922" s="350"/>
      <c r="AF922" s="350"/>
      <c r="AG922" s="350"/>
      <c r="AH922" s="350"/>
      <c r="AI922" s="350"/>
    </row>
    <row r="923" spans="24:35">
      <c r="X923" s="350"/>
      <c r="Y923" s="350"/>
      <c r="Z923" s="350"/>
      <c r="AA923" s="350"/>
      <c r="AB923" s="350"/>
      <c r="AC923" s="350"/>
      <c r="AD923" s="350"/>
      <c r="AE923" s="350"/>
      <c r="AF923" s="350"/>
      <c r="AG923" s="350"/>
      <c r="AH923" s="350"/>
      <c r="AI923" s="350"/>
    </row>
    <row r="924" spans="24:35">
      <c r="X924" s="350"/>
      <c r="Y924" s="350"/>
      <c r="Z924" s="350"/>
      <c r="AA924" s="350"/>
      <c r="AB924" s="350"/>
      <c r="AC924" s="350"/>
      <c r="AD924" s="350"/>
      <c r="AE924" s="350"/>
      <c r="AF924" s="350"/>
      <c r="AG924" s="350"/>
      <c r="AH924" s="350"/>
      <c r="AI924" s="350"/>
    </row>
    <row r="925" spans="24:35">
      <c r="X925" s="350"/>
      <c r="Y925" s="350"/>
      <c r="Z925" s="350"/>
      <c r="AA925" s="350"/>
      <c r="AB925" s="350"/>
      <c r="AC925" s="350"/>
      <c r="AD925" s="350"/>
      <c r="AE925" s="350"/>
      <c r="AF925" s="350"/>
      <c r="AG925" s="350"/>
      <c r="AH925" s="350"/>
      <c r="AI925" s="350"/>
    </row>
    <row r="926" spans="24:35">
      <c r="X926" s="350"/>
      <c r="Y926" s="350"/>
      <c r="Z926" s="350"/>
      <c r="AA926" s="350"/>
      <c r="AB926" s="350"/>
      <c r="AC926" s="350"/>
      <c r="AD926" s="350"/>
      <c r="AE926" s="350"/>
      <c r="AF926" s="350"/>
      <c r="AG926" s="350"/>
      <c r="AH926" s="350"/>
      <c r="AI926" s="350"/>
    </row>
    <row r="927" spans="24:35">
      <c r="X927" s="350"/>
      <c r="Y927" s="350"/>
      <c r="Z927" s="350"/>
      <c r="AA927" s="350"/>
      <c r="AB927" s="350"/>
      <c r="AC927" s="350"/>
      <c r="AD927" s="350"/>
      <c r="AE927" s="350"/>
      <c r="AF927" s="350"/>
      <c r="AG927" s="350"/>
      <c r="AH927" s="350"/>
      <c r="AI927" s="350"/>
    </row>
    <row r="928" spans="24:35">
      <c r="X928" s="350"/>
      <c r="Y928" s="350"/>
      <c r="Z928" s="350"/>
      <c r="AA928" s="350"/>
      <c r="AB928" s="350"/>
      <c r="AC928" s="350"/>
      <c r="AD928" s="350"/>
      <c r="AE928" s="350"/>
      <c r="AF928" s="350"/>
      <c r="AG928" s="350"/>
      <c r="AH928" s="350"/>
      <c r="AI928" s="350"/>
    </row>
    <row r="929" spans="24:35">
      <c r="X929" s="350"/>
      <c r="Y929" s="350"/>
      <c r="Z929" s="350"/>
      <c r="AA929" s="350"/>
      <c r="AB929" s="350"/>
      <c r="AC929" s="350"/>
      <c r="AD929" s="350"/>
      <c r="AE929" s="350"/>
      <c r="AF929" s="350"/>
      <c r="AG929" s="350"/>
      <c r="AH929" s="350"/>
      <c r="AI929" s="350"/>
    </row>
    <row r="930" spans="24:35">
      <c r="X930" s="350"/>
      <c r="Y930" s="350"/>
      <c r="Z930" s="350"/>
      <c r="AA930" s="350"/>
      <c r="AB930" s="350"/>
      <c r="AC930" s="350"/>
      <c r="AD930" s="350"/>
      <c r="AE930" s="350"/>
      <c r="AF930" s="350"/>
      <c r="AG930" s="350"/>
      <c r="AH930" s="350"/>
      <c r="AI930" s="350"/>
    </row>
    <row r="931" spans="24:35">
      <c r="X931" s="350"/>
      <c r="Y931" s="350"/>
      <c r="Z931" s="350"/>
      <c r="AA931" s="350"/>
      <c r="AB931" s="350"/>
      <c r="AC931" s="350"/>
      <c r="AD931" s="350"/>
      <c r="AE931" s="350"/>
      <c r="AF931" s="350"/>
      <c r="AG931" s="350"/>
      <c r="AH931" s="350"/>
      <c r="AI931" s="350"/>
    </row>
    <row r="932" spans="24:35">
      <c r="X932" s="350"/>
      <c r="Y932" s="350"/>
      <c r="Z932" s="350"/>
      <c r="AA932" s="350"/>
      <c r="AB932" s="350"/>
      <c r="AC932" s="350"/>
      <c r="AD932" s="350"/>
      <c r="AE932" s="350"/>
      <c r="AF932" s="350"/>
      <c r="AG932" s="350"/>
      <c r="AH932" s="350"/>
      <c r="AI932" s="350"/>
    </row>
    <row r="933" spans="24:35">
      <c r="X933" s="350"/>
      <c r="Y933" s="350"/>
      <c r="Z933" s="350"/>
      <c r="AA933" s="350"/>
      <c r="AB933" s="350"/>
      <c r="AC933" s="350"/>
      <c r="AD933" s="350"/>
      <c r="AE933" s="350"/>
      <c r="AF933" s="350"/>
      <c r="AG933" s="350"/>
      <c r="AH933" s="350"/>
      <c r="AI933" s="350"/>
    </row>
    <row r="934" spans="24:35">
      <c r="X934" s="350"/>
      <c r="Y934" s="350"/>
      <c r="Z934" s="350"/>
      <c r="AA934" s="350"/>
      <c r="AB934" s="350"/>
      <c r="AC934" s="350"/>
      <c r="AD934" s="350"/>
      <c r="AE934" s="350"/>
      <c r="AF934" s="350"/>
      <c r="AG934" s="350"/>
      <c r="AH934" s="350"/>
      <c r="AI934" s="350"/>
    </row>
    <row r="935" spans="24:35">
      <c r="X935" s="350"/>
      <c r="Y935" s="350"/>
      <c r="Z935" s="350"/>
      <c r="AA935" s="350"/>
      <c r="AB935" s="350"/>
      <c r="AC935" s="350"/>
      <c r="AD935" s="350"/>
      <c r="AE935" s="350"/>
      <c r="AF935" s="350"/>
      <c r="AG935" s="350"/>
      <c r="AH935" s="350"/>
      <c r="AI935" s="350"/>
    </row>
    <row r="936" spans="24:35">
      <c r="X936" s="350"/>
      <c r="Y936" s="350"/>
      <c r="Z936" s="350"/>
      <c r="AA936" s="350"/>
      <c r="AB936" s="350"/>
      <c r="AC936" s="350"/>
      <c r="AD936" s="350"/>
      <c r="AE936" s="350"/>
      <c r="AF936" s="350"/>
      <c r="AG936" s="350"/>
      <c r="AH936" s="350"/>
      <c r="AI936" s="350"/>
    </row>
    <row r="937" spans="24:35">
      <c r="X937" s="350"/>
      <c r="Y937" s="350"/>
      <c r="Z937" s="350"/>
      <c r="AA937" s="350"/>
      <c r="AB937" s="350"/>
      <c r="AC937" s="350"/>
      <c r="AD937" s="350"/>
      <c r="AE937" s="350"/>
      <c r="AF937" s="350"/>
      <c r="AG937" s="350"/>
      <c r="AH937" s="350"/>
      <c r="AI937" s="350"/>
    </row>
    <row r="938" spans="24:35">
      <c r="X938" s="350"/>
      <c r="Y938" s="350"/>
      <c r="Z938" s="350"/>
      <c r="AA938" s="350"/>
      <c r="AB938" s="350"/>
      <c r="AC938" s="350"/>
      <c r="AD938" s="350"/>
      <c r="AE938" s="350"/>
      <c r="AF938" s="350"/>
      <c r="AG938" s="350"/>
      <c r="AH938" s="350"/>
      <c r="AI938" s="350"/>
    </row>
    <row r="939" spans="24:35">
      <c r="X939" s="350"/>
      <c r="Y939" s="350"/>
      <c r="Z939" s="350"/>
      <c r="AA939" s="350"/>
      <c r="AB939" s="350"/>
      <c r="AC939" s="350"/>
      <c r="AD939" s="350"/>
      <c r="AE939" s="350"/>
      <c r="AF939" s="350"/>
      <c r="AG939" s="350"/>
      <c r="AH939" s="350"/>
      <c r="AI939" s="350"/>
    </row>
    <row r="940" spans="24:35">
      <c r="X940" s="350"/>
      <c r="Y940" s="350"/>
      <c r="Z940" s="350"/>
      <c r="AA940" s="350"/>
      <c r="AB940" s="350"/>
      <c r="AC940" s="350"/>
      <c r="AD940" s="350"/>
      <c r="AE940" s="350"/>
      <c r="AF940" s="350"/>
      <c r="AG940" s="350"/>
      <c r="AH940" s="350"/>
      <c r="AI940" s="350"/>
    </row>
    <row r="941" spans="24:35">
      <c r="X941" s="350"/>
      <c r="Y941" s="350"/>
      <c r="Z941" s="350"/>
      <c r="AA941" s="350"/>
      <c r="AB941" s="350"/>
      <c r="AC941" s="350"/>
      <c r="AD941" s="350"/>
      <c r="AE941" s="350"/>
      <c r="AF941" s="350"/>
      <c r="AG941" s="350"/>
      <c r="AH941" s="350"/>
      <c r="AI941" s="350"/>
    </row>
    <row r="942" spans="24:35">
      <c r="X942" s="350"/>
      <c r="Y942" s="350"/>
      <c r="Z942" s="350"/>
      <c r="AA942" s="350"/>
      <c r="AB942" s="350"/>
      <c r="AC942" s="350"/>
      <c r="AD942" s="350"/>
      <c r="AE942" s="350"/>
      <c r="AF942" s="350"/>
      <c r="AG942" s="350"/>
      <c r="AH942" s="350"/>
      <c r="AI942" s="350"/>
    </row>
    <row r="943" spans="24:35">
      <c r="X943" s="350"/>
      <c r="Y943" s="350"/>
      <c r="Z943" s="350"/>
      <c r="AA943" s="350"/>
      <c r="AB943" s="350"/>
      <c r="AC943" s="350"/>
      <c r="AD943" s="350"/>
      <c r="AE943" s="350"/>
      <c r="AF943" s="350"/>
      <c r="AG943" s="350"/>
      <c r="AH943" s="350"/>
      <c r="AI943" s="350"/>
    </row>
    <row r="944" spans="24:35">
      <c r="X944" s="350"/>
      <c r="Y944" s="350"/>
      <c r="Z944" s="350"/>
      <c r="AA944" s="350"/>
      <c r="AB944" s="350"/>
      <c r="AC944" s="350"/>
      <c r="AD944" s="350"/>
      <c r="AE944" s="350"/>
      <c r="AF944" s="350"/>
      <c r="AG944" s="350"/>
      <c r="AH944" s="350"/>
      <c r="AI944" s="350"/>
    </row>
    <row r="945" spans="24:35">
      <c r="X945" s="350"/>
      <c r="Y945" s="350"/>
      <c r="Z945" s="350"/>
      <c r="AA945" s="350"/>
      <c r="AB945" s="350"/>
      <c r="AC945" s="350"/>
      <c r="AD945" s="350"/>
      <c r="AE945" s="350"/>
      <c r="AF945" s="350"/>
      <c r="AG945" s="350"/>
      <c r="AH945" s="350"/>
      <c r="AI945" s="350"/>
    </row>
    <row r="946" spans="24:35">
      <c r="X946" s="350"/>
      <c r="Y946" s="350"/>
      <c r="Z946" s="350"/>
      <c r="AA946" s="350"/>
      <c r="AB946" s="350"/>
      <c r="AC946" s="350"/>
      <c r="AD946" s="350"/>
      <c r="AE946" s="350"/>
      <c r="AF946" s="350"/>
      <c r="AG946" s="350"/>
      <c r="AH946" s="350"/>
      <c r="AI946" s="350"/>
    </row>
    <row r="947" spans="24:35">
      <c r="X947" s="350"/>
      <c r="Y947" s="350"/>
      <c r="Z947" s="350"/>
      <c r="AA947" s="350"/>
      <c r="AB947" s="350"/>
      <c r="AC947" s="350"/>
      <c r="AD947" s="350"/>
      <c r="AE947" s="350"/>
      <c r="AF947" s="350"/>
      <c r="AG947" s="350"/>
      <c r="AH947" s="350"/>
      <c r="AI947" s="350"/>
    </row>
    <row r="948" spans="24:35">
      <c r="X948" s="350"/>
      <c r="Y948" s="350"/>
      <c r="Z948" s="350"/>
      <c r="AA948" s="350"/>
      <c r="AB948" s="350"/>
      <c r="AC948" s="350"/>
      <c r="AD948" s="350"/>
      <c r="AE948" s="350"/>
      <c r="AF948" s="350"/>
      <c r="AG948" s="350"/>
      <c r="AH948" s="350"/>
      <c r="AI948" s="350"/>
    </row>
    <row r="949" spans="24:35">
      <c r="X949" s="350"/>
      <c r="Y949" s="350"/>
      <c r="Z949" s="350"/>
      <c r="AA949" s="350"/>
      <c r="AB949" s="350"/>
      <c r="AC949" s="350"/>
      <c r="AD949" s="350"/>
      <c r="AE949" s="350"/>
      <c r="AF949" s="350"/>
      <c r="AG949" s="350"/>
      <c r="AH949" s="350"/>
      <c r="AI949" s="350"/>
    </row>
    <row r="950" spans="24:35">
      <c r="X950" s="350"/>
      <c r="Y950" s="350"/>
      <c r="Z950" s="350"/>
      <c r="AA950" s="350"/>
      <c r="AB950" s="350"/>
      <c r="AC950" s="350"/>
      <c r="AD950" s="350"/>
      <c r="AE950" s="350"/>
      <c r="AF950" s="350"/>
      <c r="AG950" s="350"/>
      <c r="AH950" s="350"/>
      <c r="AI950" s="350"/>
    </row>
    <row r="951" spans="24:35">
      <c r="X951" s="350"/>
      <c r="Y951" s="350"/>
      <c r="Z951" s="350"/>
      <c r="AA951" s="350"/>
      <c r="AB951" s="350"/>
      <c r="AC951" s="350"/>
      <c r="AD951" s="350"/>
      <c r="AE951" s="350"/>
      <c r="AF951" s="350"/>
      <c r="AG951" s="350"/>
      <c r="AH951" s="350"/>
      <c r="AI951" s="350"/>
    </row>
    <row r="952" spans="24:35">
      <c r="X952" s="350"/>
      <c r="Y952" s="350"/>
      <c r="Z952" s="350"/>
      <c r="AA952" s="350"/>
      <c r="AB952" s="350"/>
      <c r="AC952" s="350"/>
      <c r="AD952" s="350"/>
      <c r="AE952" s="350"/>
      <c r="AF952" s="350"/>
      <c r="AG952" s="350"/>
      <c r="AH952" s="350"/>
      <c r="AI952" s="350"/>
    </row>
    <row r="953" spans="24:35">
      <c r="X953" s="350"/>
      <c r="Y953" s="350"/>
      <c r="Z953" s="350"/>
      <c r="AA953" s="350"/>
      <c r="AB953" s="350"/>
      <c r="AC953" s="350"/>
      <c r="AD953" s="350"/>
      <c r="AE953" s="350"/>
      <c r="AF953" s="350"/>
      <c r="AG953" s="350"/>
      <c r="AH953" s="350"/>
      <c r="AI953" s="350"/>
    </row>
    <row r="954" spans="24:35">
      <c r="X954" s="350"/>
      <c r="Y954" s="350"/>
      <c r="Z954" s="350"/>
      <c r="AA954" s="350"/>
      <c r="AB954" s="350"/>
      <c r="AC954" s="350"/>
      <c r="AD954" s="350"/>
      <c r="AE954" s="350"/>
      <c r="AF954" s="350"/>
      <c r="AG954" s="350"/>
      <c r="AH954" s="350"/>
      <c r="AI954" s="350"/>
    </row>
    <row r="955" spans="24:35">
      <c r="X955" s="350"/>
      <c r="Y955" s="350"/>
      <c r="Z955" s="350"/>
      <c r="AA955" s="350"/>
      <c r="AB955" s="350"/>
      <c r="AC955" s="350"/>
      <c r="AD955" s="350"/>
      <c r="AE955" s="350"/>
      <c r="AF955" s="350"/>
      <c r="AG955" s="350"/>
      <c r="AH955" s="350"/>
      <c r="AI955" s="350"/>
    </row>
    <row r="956" spans="24:35">
      <c r="X956" s="350"/>
      <c r="Y956" s="350"/>
      <c r="Z956" s="350"/>
      <c r="AA956" s="350"/>
      <c r="AB956" s="350"/>
      <c r="AC956" s="350"/>
      <c r="AD956" s="350"/>
      <c r="AE956" s="350"/>
      <c r="AF956" s="350"/>
      <c r="AG956" s="350"/>
      <c r="AH956" s="350"/>
      <c r="AI956" s="350"/>
    </row>
    <row r="957" spans="24:35">
      <c r="X957" s="350"/>
      <c r="Y957" s="350"/>
      <c r="Z957" s="350"/>
      <c r="AA957" s="350"/>
      <c r="AB957" s="350"/>
      <c r="AC957" s="350"/>
      <c r="AD957" s="350"/>
      <c r="AE957" s="350"/>
      <c r="AF957" s="350"/>
      <c r="AG957" s="350"/>
      <c r="AH957" s="350"/>
      <c r="AI957" s="350"/>
    </row>
    <row r="958" spans="24:35">
      <c r="X958" s="350"/>
      <c r="Y958" s="350"/>
      <c r="Z958" s="350"/>
      <c r="AA958" s="350"/>
      <c r="AB958" s="350"/>
      <c r="AC958" s="350"/>
      <c r="AD958" s="350"/>
      <c r="AE958" s="350"/>
      <c r="AF958" s="350"/>
      <c r="AG958" s="350"/>
      <c r="AH958" s="350"/>
      <c r="AI958" s="350"/>
    </row>
    <row r="959" spans="24:35">
      <c r="X959" s="350"/>
      <c r="Y959" s="350"/>
      <c r="Z959" s="350"/>
      <c r="AA959" s="350"/>
      <c r="AB959" s="350"/>
      <c r="AC959" s="350"/>
      <c r="AD959" s="350"/>
      <c r="AE959" s="350"/>
      <c r="AF959" s="350"/>
      <c r="AG959" s="350"/>
      <c r="AH959" s="350"/>
      <c r="AI959" s="350"/>
    </row>
    <row r="960" spans="24:35">
      <c r="X960" s="350"/>
      <c r="Y960" s="350"/>
      <c r="Z960" s="350"/>
      <c r="AA960" s="350"/>
      <c r="AB960" s="350"/>
      <c r="AC960" s="350"/>
      <c r="AD960" s="350"/>
      <c r="AE960" s="350"/>
      <c r="AF960" s="350"/>
      <c r="AG960" s="350"/>
      <c r="AH960" s="350"/>
      <c r="AI960" s="350"/>
    </row>
    <row r="961" spans="24:35">
      <c r="X961" s="350"/>
      <c r="Y961" s="350"/>
      <c r="Z961" s="350"/>
      <c r="AA961" s="350"/>
      <c r="AB961" s="350"/>
      <c r="AC961" s="350"/>
      <c r="AD961" s="350"/>
      <c r="AE961" s="350"/>
      <c r="AF961" s="350"/>
      <c r="AG961" s="350"/>
      <c r="AH961" s="350"/>
      <c r="AI961" s="350"/>
    </row>
    <row r="962" spans="24:35">
      <c r="X962" s="350"/>
      <c r="Y962" s="350"/>
      <c r="Z962" s="350"/>
      <c r="AA962" s="350"/>
      <c r="AB962" s="350"/>
      <c r="AC962" s="350"/>
      <c r="AD962" s="350"/>
      <c r="AE962" s="350"/>
      <c r="AF962" s="350"/>
      <c r="AG962" s="350"/>
      <c r="AH962" s="350"/>
      <c r="AI962" s="350"/>
    </row>
    <row r="963" spans="24:35">
      <c r="X963" s="350"/>
      <c r="Y963" s="350"/>
      <c r="Z963" s="350"/>
      <c r="AA963" s="350"/>
      <c r="AB963" s="350"/>
      <c r="AC963" s="350"/>
      <c r="AD963" s="350"/>
      <c r="AE963" s="350"/>
      <c r="AF963" s="350"/>
      <c r="AG963" s="350"/>
      <c r="AH963" s="350"/>
      <c r="AI963" s="350"/>
    </row>
    <row r="964" spans="24:35">
      <c r="X964" s="350"/>
      <c r="Y964" s="350"/>
      <c r="Z964" s="350"/>
      <c r="AA964" s="350"/>
      <c r="AB964" s="350"/>
      <c r="AC964" s="350"/>
      <c r="AD964" s="350"/>
      <c r="AE964" s="350"/>
      <c r="AF964" s="350"/>
      <c r="AG964" s="350"/>
      <c r="AH964" s="350"/>
      <c r="AI964" s="350"/>
    </row>
    <row r="965" spans="24:35">
      <c r="X965" s="350"/>
      <c r="Y965" s="350"/>
      <c r="Z965" s="350"/>
      <c r="AA965" s="350"/>
      <c r="AB965" s="350"/>
      <c r="AC965" s="350"/>
      <c r="AD965" s="350"/>
      <c r="AE965" s="350"/>
      <c r="AF965" s="350"/>
      <c r="AG965" s="350"/>
      <c r="AH965" s="350"/>
      <c r="AI965" s="350"/>
    </row>
    <row r="966" spans="24:35">
      <c r="X966" s="350"/>
      <c r="Y966" s="350"/>
      <c r="Z966" s="350"/>
      <c r="AA966" s="350"/>
      <c r="AB966" s="350"/>
      <c r="AC966" s="350"/>
      <c r="AD966" s="350"/>
      <c r="AE966" s="350"/>
      <c r="AF966" s="350"/>
      <c r="AG966" s="350"/>
      <c r="AH966" s="350"/>
      <c r="AI966" s="350"/>
    </row>
    <row r="967" spans="24:35">
      <c r="X967" s="350"/>
      <c r="Y967" s="350"/>
      <c r="Z967" s="350"/>
      <c r="AA967" s="350"/>
      <c r="AB967" s="350"/>
      <c r="AC967" s="350"/>
      <c r="AD967" s="350"/>
      <c r="AE967" s="350"/>
      <c r="AF967" s="350"/>
      <c r="AG967" s="350"/>
      <c r="AH967" s="350"/>
      <c r="AI967" s="350"/>
    </row>
    <row r="968" spans="24:35">
      <c r="X968" s="350"/>
      <c r="Y968" s="350"/>
      <c r="Z968" s="350"/>
      <c r="AA968" s="350"/>
      <c r="AB968" s="350"/>
      <c r="AC968" s="350"/>
      <c r="AD968" s="350"/>
      <c r="AE968" s="350"/>
      <c r="AF968" s="350"/>
      <c r="AG968" s="350"/>
      <c r="AH968" s="350"/>
      <c r="AI968" s="350"/>
    </row>
    <row r="969" spans="24:35">
      <c r="X969" s="350"/>
      <c r="Y969" s="350"/>
      <c r="Z969" s="350"/>
      <c r="AA969" s="350"/>
      <c r="AB969" s="350"/>
      <c r="AC969" s="350"/>
      <c r="AD969" s="350"/>
      <c r="AE969" s="350"/>
      <c r="AF969" s="350"/>
      <c r="AG969" s="350"/>
      <c r="AH969" s="350"/>
      <c r="AI969" s="350"/>
    </row>
    <row r="970" spans="24:35">
      <c r="X970" s="350"/>
      <c r="Y970" s="350"/>
      <c r="Z970" s="350"/>
      <c r="AA970" s="350"/>
      <c r="AB970" s="350"/>
      <c r="AC970" s="350"/>
      <c r="AD970" s="350"/>
      <c r="AE970" s="350"/>
      <c r="AF970" s="350"/>
      <c r="AG970" s="350"/>
      <c r="AH970" s="350"/>
      <c r="AI970" s="350"/>
    </row>
    <row r="971" spans="24:35">
      <c r="X971" s="350"/>
      <c r="Y971" s="350"/>
      <c r="Z971" s="350"/>
      <c r="AA971" s="350"/>
      <c r="AB971" s="350"/>
      <c r="AC971" s="350"/>
      <c r="AD971" s="350"/>
      <c r="AE971" s="350"/>
      <c r="AF971" s="350"/>
      <c r="AG971" s="350"/>
      <c r="AH971" s="350"/>
      <c r="AI971" s="350"/>
    </row>
    <row r="972" spans="24:35">
      <c r="X972" s="350"/>
      <c r="Y972" s="350"/>
      <c r="Z972" s="350"/>
      <c r="AA972" s="350"/>
      <c r="AB972" s="350"/>
      <c r="AC972" s="350"/>
      <c r="AD972" s="350"/>
      <c r="AE972" s="350"/>
      <c r="AF972" s="350"/>
      <c r="AG972" s="350"/>
      <c r="AH972" s="350"/>
      <c r="AI972" s="350"/>
    </row>
    <row r="973" spans="24:35">
      <c r="X973" s="350"/>
      <c r="Y973" s="350"/>
      <c r="Z973" s="350"/>
      <c r="AA973" s="350"/>
      <c r="AB973" s="350"/>
      <c r="AC973" s="350"/>
      <c r="AD973" s="350"/>
      <c r="AE973" s="350"/>
      <c r="AF973" s="350"/>
      <c r="AG973" s="350"/>
      <c r="AH973" s="350"/>
      <c r="AI973" s="350"/>
    </row>
    <row r="974" spans="24:35">
      <c r="X974" s="350"/>
      <c r="Y974" s="350"/>
      <c r="Z974" s="350"/>
      <c r="AA974" s="350"/>
      <c r="AB974" s="350"/>
      <c r="AC974" s="350"/>
      <c r="AD974" s="350"/>
      <c r="AE974" s="350"/>
      <c r="AF974" s="350"/>
      <c r="AG974" s="350"/>
      <c r="AH974" s="350"/>
      <c r="AI974" s="350"/>
    </row>
    <row r="975" spans="24:35">
      <c r="X975" s="350"/>
      <c r="Y975" s="350"/>
      <c r="Z975" s="350"/>
      <c r="AA975" s="350"/>
      <c r="AB975" s="350"/>
      <c r="AC975" s="350"/>
      <c r="AD975" s="350"/>
      <c r="AE975" s="350"/>
      <c r="AF975" s="350"/>
      <c r="AG975" s="350"/>
      <c r="AH975" s="350"/>
      <c r="AI975" s="350"/>
    </row>
    <row r="976" spans="24:35">
      <c r="X976" s="350"/>
      <c r="Y976" s="350"/>
      <c r="Z976" s="350"/>
      <c r="AA976" s="350"/>
      <c r="AB976" s="350"/>
      <c r="AC976" s="350"/>
      <c r="AD976" s="350"/>
      <c r="AE976" s="350"/>
      <c r="AF976" s="350"/>
      <c r="AG976" s="350"/>
      <c r="AH976" s="350"/>
      <c r="AI976" s="350"/>
    </row>
    <row r="977" spans="24:35">
      <c r="X977" s="350"/>
      <c r="Y977" s="350"/>
      <c r="Z977" s="350"/>
      <c r="AA977" s="350"/>
      <c r="AB977" s="350"/>
      <c r="AC977" s="350"/>
      <c r="AD977" s="350"/>
      <c r="AE977" s="350"/>
      <c r="AF977" s="350"/>
      <c r="AG977" s="350"/>
      <c r="AH977" s="350"/>
      <c r="AI977" s="350"/>
    </row>
    <row r="978" spans="24:35">
      <c r="X978" s="350"/>
      <c r="Y978" s="350"/>
      <c r="Z978" s="350"/>
      <c r="AA978" s="350"/>
      <c r="AB978" s="350"/>
      <c r="AC978" s="350"/>
      <c r="AD978" s="350"/>
      <c r="AE978" s="350"/>
      <c r="AF978" s="350"/>
      <c r="AG978" s="350"/>
      <c r="AH978" s="350"/>
      <c r="AI978" s="350"/>
    </row>
    <row r="979" spans="24:35">
      <c r="X979" s="350"/>
      <c r="Y979" s="350"/>
      <c r="Z979" s="350"/>
      <c r="AA979" s="350"/>
      <c r="AB979" s="350"/>
      <c r="AC979" s="350"/>
      <c r="AD979" s="350"/>
      <c r="AE979" s="350"/>
      <c r="AF979" s="350"/>
      <c r="AG979" s="350"/>
      <c r="AH979" s="350"/>
      <c r="AI979" s="350"/>
    </row>
    <row r="980" spans="24:35">
      <c r="X980" s="350"/>
      <c r="Y980" s="350"/>
      <c r="Z980" s="350"/>
      <c r="AA980" s="350"/>
      <c r="AB980" s="350"/>
      <c r="AC980" s="350"/>
      <c r="AD980" s="350"/>
      <c r="AE980" s="350"/>
      <c r="AF980" s="350"/>
      <c r="AG980" s="350"/>
      <c r="AH980" s="350"/>
      <c r="AI980" s="350"/>
    </row>
    <row r="981" spans="24:35">
      <c r="X981" s="350"/>
      <c r="Y981" s="350"/>
      <c r="Z981" s="350"/>
      <c r="AA981" s="350"/>
      <c r="AB981" s="350"/>
      <c r="AC981" s="350"/>
      <c r="AD981" s="350"/>
      <c r="AE981" s="350"/>
      <c r="AF981" s="350"/>
      <c r="AG981" s="350"/>
      <c r="AH981" s="350"/>
      <c r="AI981" s="350"/>
    </row>
    <row r="982" spans="24:35">
      <c r="X982" s="350"/>
      <c r="Y982" s="350"/>
      <c r="Z982" s="350"/>
      <c r="AA982" s="350"/>
      <c r="AB982" s="350"/>
      <c r="AC982" s="350"/>
      <c r="AD982" s="350"/>
      <c r="AE982" s="350"/>
      <c r="AF982" s="350"/>
      <c r="AG982" s="350"/>
      <c r="AH982" s="350"/>
      <c r="AI982" s="350"/>
    </row>
    <row r="983" spans="24:35">
      <c r="X983" s="350"/>
      <c r="Y983" s="350"/>
      <c r="Z983" s="350"/>
      <c r="AA983" s="350"/>
      <c r="AB983" s="350"/>
      <c r="AC983" s="350"/>
      <c r="AD983" s="350"/>
      <c r="AE983" s="350"/>
      <c r="AF983" s="350"/>
      <c r="AG983" s="350"/>
      <c r="AH983" s="350"/>
      <c r="AI983" s="350"/>
    </row>
    <row r="984" spans="24:35">
      <c r="X984" s="350"/>
      <c r="Y984" s="350"/>
      <c r="Z984" s="350"/>
      <c r="AA984" s="350"/>
      <c r="AB984" s="350"/>
      <c r="AC984" s="350"/>
      <c r="AD984" s="350"/>
      <c r="AE984" s="350"/>
      <c r="AF984" s="350"/>
      <c r="AG984" s="350"/>
      <c r="AH984" s="350"/>
      <c r="AI984" s="350"/>
    </row>
    <row r="985" spans="24:35">
      <c r="X985" s="350"/>
      <c r="Y985" s="350"/>
      <c r="Z985" s="350"/>
      <c r="AA985" s="350"/>
      <c r="AB985" s="350"/>
      <c r="AC985" s="350"/>
      <c r="AD985" s="350"/>
      <c r="AE985" s="350"/>
      <c r="AF985" s="350"/>
      <c r="AG985" s="350"/>
      <c r="AH985" s="350"/>
      <c r="AI985" s="350"/>
    </row>
    <row r="986" spans="24:35">
      <c r="X986" s="350"/>
      <c r="Y986" s="350"/>
      <c r="Z986" s="350"/>
      <c r="AA986" s="350"/>
      <c r="AB986" s="350"/>
      <c r="AC986" s="350"/>
      <c r="AD986" s="350"/>
      <c r="AE986" s="350"/>
      <c r="AF986" s="350"/>
      <c r="AG986" s="350"/>
      <c r="AH986" s="350"/>
      <c r="AI986" s="350"/>
    </row>
    <row r="987" spans="24:35">
      <c r="X987" s="350"/>
      <c r="Y987" s="350"/>
      <c r="Z987" s="350"/>
      <c r="AA987" s="350"/>
      <c r="AB987" s="350"/>
      <c r="AC987" s="350"/>
      <c r="AD987" s="350"/>
      <c r="AE987" s="350"/>
      <c r="AF987" s="350"/>
      <c r="AG987" s="350"/>
      <c r="AH987" s="350"/>
      <c r="AI987" s="350"/>
    </row>
    <row r="988" spans="24:35">
      <c r="X988" s="350"/>
      <c r="Y988" s="350"/>
      <c r="Z988" s="350"/>
      <c r="AA988" s="350"/>
      <c r="AB988" s="350"/>
      <c r="AC988" s="350"/>
      <c r="AD988" s="350"/>
      <c r="AE988" s="350"/>
      <c r="AF988" s="350"/>
      <c r="AG988" s="350"/>
      <c r="AH988" s="350"/>
      <c r="AI988" s="350"/>
    </row>
    <row r="989" spans="24:35">
      <c r="X989" s="350"/>
      <c r="Y989" s="350"/>
      <c r="Z989" s="350"/>
      <c r="AA989" s="350"/>
      <c r="AB989" s="350"/>
      <c r="AC989" s="350"/>
      <c r="AD989" s="350"/>
      <c r="AE989" s="350"/>
      <c r="AF989" s="350"/>
      <c r="AG989" s="350"/>
      <c r="AH989" s="350"/>
      <c r="AI989" s="350"/>
    </row>
    <row r="990" spans="24:35">
      <c r="X990" s="350"/>
      <c r="Y990" s="350"/>
      <c r="Z990" s="350"/>
      <c r="AA990" s="350"/>
      <c r="AB990" s="350"/>
      <c r="AC990" s="350"/>
      <c r="AD990" s="350"/>
      <c r="AE990" s="350"/>
      <c r="AF990" s="350"/>
      <c r="AG990" s="350"/>
      <c r="AH990" s="350"/>
      <c r="AI990" s="350"/>
    </row>
    <row r="991" spans="24:35">
      <c r="X991" s="350"/>
      <c r="Y991" s="350"/>
      <c r="Z991" s="350"/>
      <c r="AA991" s="350"/>
      <c r="AB991" s="350"/>
      <c r="AC991" s="350"/>
      <c r="AD991" s="350"/>
      <c r="AE991" s="350"/>
      <c r="AF991" s="350"/>
      <c r="AG991" s="350"/>
      <c r="AH991" s="350"/>
      <c r="AI991" s="350"/>
    </row>
    <row r="992" spans="24:35">
      <c r="X992" s="350"/>
      <c r="Y992" s="350"/>
      <c r="Z992" s="350"/>
      <c r="AA992" s="350"/>
      <c r="AB992" s="350"/>
      <c r="AC992" s="350"/>
      <c r="AD992" s="350"/>
      <c r="AE992" s="350"/>
      <c r="AF992" s="350"/>
      <c r="AG992" s="350"/>
      <c r="AH992" s="350"/>
      <c r="AI992" s="350"/>
    </row>
    <row r="993" spans="24:35">
      <c r="X993" s="350"/>
      <c r="Y993" s="350"/>
      <c r="Z993" s="350"/>
      <c r="AA993" s="350"/>
      <c r="AB993" s="350"/>
      <c r="AC993" s="350"/>
      <c r="AD993" s="350"/>
      <c r="AE993" s="350"/>
      <c r="AF993" s="350"/>
      <c r="AG993" s="350"/>
      <c r="AH993" s="350"/>
      <c r="AI993" s="350"/>
    </row>
    <row r="994" spans="24:35">
      <c r="X994" s="350"/>
      <c r="Y994" s="350"/>
      <c r="Z994" s="350"/>
      <c r="AA994" s="350"/>
      <c r="AB994" s="350"/>
      <c r="AC994" s="350"/>
      <c r="AD994" s="350"/>
      <c r="AE994" s="350"/>
      <c r="AF994" s="350"/>
      <c r="AG994" s="350"/>
      <c r="AH994" s="350"/>
      <c r="AI994" s="350"/>
    </row>
    <row r="995" spans="24:35">
      <c r="X995" s="350"/>
      <c r="Y995" s="350"/>
      <c r="Z995" s="350"/>
      <c r="AA995" s="350"/>
      <c r="AB995" s="350"/>
      <c r="AC995" s="350"/>
      <c r="AD995" s="350"/>
      <c r="AE995" s="350"/>
      <c r="AF995" s="350"/>
      <c r="AG995" s="350"/>
      <c r="AH995" s="350"/>
      <c r="AI995" s="350"/>
    </row>
    <row r="996" spans="24:35">
      <c r="X996" s="350"/>
      <c r="Y996" s="350"/>
      <c r="Z996" s="350"/>
      <c r="AA996" s="350"/>
      <c r="AB996" s="350"/>
      <c r="AC996" s="350"/>
      <c r="AD996" s="350"/>
      <c r="AE996" s="350"/>
      <c r="AF996" s="350"/>
      <c r="AG996" s="350"/>
      <c r="AH996" s="350"/>
      <c r="AI996" s="350"/>
    </row>
    <row r="997" spans="24:35">
      <c r="X997" s="350"/>
      <c r="Y997" s="350"/>
      <c r="Z997" s="350"/>
      <c r="AA997" s="350"/>
      <c r="AB997" s="350"/>
      <c r="AC997" s="350"/>
      <c r="AD997" s="350"/>
      <c r="AE997" s="350"/>
      <c r="AF997" s="350"/>
      <c r="AG997" s="350"/>
      <c r="AH997" s="350"/>
      <c r="AI997" s="350"/>
    </row>
    <row r="998" spans="24:35">
      <c r="X998" s="350"/>
      <c r="Y998" s="350"/>
      <c r="Z998" s="350"/>
      <c r="AA998" s="350"/>
      <c r="AB998" s="350"/>
      <c r="AC998" s="350"/>
      <c r="AD998" s="350"/>
      <c r="AE998" s="350"/>
      <c r="AF998" s="350"/>
      <c r="AG998" s="350"/>
      <c r="AH998" s="350"/>
      <c r="AI998" s="350"/>
    </row>
    <row r="999" spans="24:35">
      <c r="X999" s="350"/>
      <c r="Y999" s="350"/>
      <c r="Z999" s="350"/>
      <c r="AA999" s="350"/>
      <c r="AB999" s="350"/>
      <c r="AC999" s="350"/>
      <c r="AD999" s="350"/>
      <c r="AE999" s="350"/>
      <c r="AF999" s="350"/>
      <c r="AG999" s="350"/>
      <c r="AH999" s="350"/>
      <c r="AI999" s="350"/>
    </row>
    <row r="1000" spans="24:35">
      <c r="X1000" s="350"/>
      <c r="Y1000" s="350"/>
      <c r="Z1000" s="350"/>
      <c r="AA1000" s="350"/>
      <c r="AB1000" s="350"/>
      <c r="AC1000" s="350"/>
      <c r="AD1000" s="350"/>
      <c r="AE1000" s="350"/>
      <c r="AF1000" s="350"/>
      <c r="AG1000" s="350"/>
      <c r="AH1000" s="350"/>
      <c r="AI1000" s="350"/>
    </row>
    <row r="1001" spans="24:35">
      <c r="X1001" s="350"/>
      <c r="Y1001" s="350"/>
      <c r="Z1001" s="350"/>
      <c r="AA1001" s="350"/>
      <c r="AB1001" s="350"/>
      <c r="AC1001" s="350"/>
      <c r="AD1001" s="350"/>
      <c r="AE1001" s="350"/>
      <c r="AF1001" s="350"/>
      <c r="AG1001" s="350"/>
      <c r="AH1001" s="350"/>
      <c r="AI1001" s="350"/>
    </row>
    <row r="1002" spans="24:35">
      <c r="X1002" s="350"/>
      <c r="Y1002" s="350"/>
      <c r="Z1002" s="350"/>
      <c r="AA1002" s="350"/>
      <c r="AB1002" s="350"/>
      <c r="AC1002" s="350"/>
      <c r="AD1002" s="350"/>
      <c r="AE1002" s="350"/>
      <c r="AF1002" s="350"/>
      <c r="AG1002" s="350"/>
      <c r="AH1002" s="350"/>
      <c r="AI1002" s="350"/>
    </row>
    <row r="1003" spans="24:35">
      <c r="X1003" s="350"/>
      <c r="Y1003" s="350"/>
      <c r="Z1003" s="350"/>
      <c r="AA1003" s="350"/>
      <c r="AB1003" s="350"/>
      <c r="AC1003" s="350"/>
      <c r="AD1003" s="350"/>
      <c r="AE1003" s="350"/>
      <c r="AF1003" s="350"/>
      <c r="AG1003" s="350"/>
      <c r="AH1003" s="350"/>
      <c r="AI1003" s="350"/>
    </row>
    <row r="1004" spans="24:35">
      <c r="X1004" s="350"/>
      <c r="Y1004" s="350"/>
      <c r="Z1004" s="350"/>
      <c r="AA1004" s="350"/>
      <c r="AB1004" s="350"/>
      <c r="AC1004" s="350"/>
      <c r="AD1004" s="350"/>
      <c r="AE1004" s="350"/>
      <c r="AF1004" s="350"/>
      <c r="AG1004" s="350"/>
      <c r="AH1004" s="350"/>
      <c r="AI1004" s="350"/>
    </row>
    <row r="1005" spans="24:35">
      <c r="X1005" s="350"/>
      <c r="Y1005" s="350"/>
      <c r="Z1005" s="350"/>
      <c r="AA1005" s="350"/>
      <c r="AB1005" s="350"/>
      <c r="AC1005" s="350"/>
      <c r="AD1005" s="350"/>
      <c r="AE1005" s="350"/>
      <c r="AF1005" s="350"/>
      <c r="AG1005" s="350"/>
      <c r="AH1005" s="350"/>
      <c r="AI1005" s="350"/>
    </row>
    <row r="1006" spans="24:35">
      <c r="X1006" s="350"/>
      <c r="Y1006" s="350"/>
      <c r="Z1006" s="350"/>
      <c r="AA1006" s="350"/>
      <c r="AB1006" s="350"/>
      <c r="AC1006" s="350"/>
      <c r="AD1006" s="350"/>
      <c r="AE1006" s="350"/>
      <c r="AF1006" s="350"/>
      <c r="AG1006" s="350"/>
      <c r="AH1006" s="350"/>
      <c r="AI1006" s="350"/>
    </row>
    <row r="1007" spans="24:35">
      <c r="X1007" s="350"/>
      <c r="Y1007" s="350"/>
      <c r="Z1007" s="350"/>
      <c r="AA1007" s="350"/>
      <c r="AB1007" s="350"/>
      <c r="AC1007" s="350"/>
      <c r="AD1007" s="350"/>
      <c r="AE1007" s="350"/>
      <c r="AF1007" s="350"/>
      <c r="AG1007" s="350"/>
      <c r="AH1007" s="350"/>
      <c r="AI1007" s="350"/>
    </row>
    <row r="1008" spans="24:35">
      <c r="X1008" s="350"/>
      <c r="Y1008" s="350"/>
      <c r="Z1008" s="350"/>
      <c r="AA1008" s="350"/>
      <c r="AB1008" s="350"/>
      <c r="AC1008" s="350"/>
      <c r="AD1008" s="350"/>
      <c r="AE1008" s="350"/>
      <c r="AF1008" s="350"/>
      <c r="AG1008" s="350"/>
      <c r="AH1008" s="350"/>
      <c r="AI1008" s="350"/>
    </row>
    <row r="1009" spans="24:35">
      <c r="X1009" s="350"/>
      <c r="Y1009" s="350"/>
      <c r="Z1009" s="350"/>
      <c r="AA1009" s="350"/>
      <c r="AB1009" s="350"/>
      <c r="AC1009" s="350"/>
      <c r="AD1009" s="350"/>
      <c r="AE1009" s="350"/>
      <c r="AF1009" s="350"/>
      <c r="AG1009" s="350"/>
      <c r="AH1009" s="350"/>
      <c r="AI1009" s="350"/>
    </row>
    <row r="1010" spans="24:35">
      <c r="X1010" s="350"/>
      <c r="Y1010" s="350"/>
      <c r="Z1010" s="350"/>
      <c r="AA1010" s="350"/>
      <c r="AB1010" s="350"/>
      <c r="AC1010" s="350"/>
      <c r="AD1010" s="350"/>
      <c r="AE1010" s="350"/>
      <c r="AF1010" s="350"/>
      <c r="AG1010" s="350"/>
      <c r="AH1010" s="350"/>
      <c r="AI1010" s="350"/>
    </row>
    <row r="1011" spans="24:35">
      <c r="X1011" s="350"/>
      <c r="Y1011" s="350"/>
      <c r="Z1011" s="350"/>
      <c r="AA1011" s="350"/>
      <c r="AB1011" s="350"/>
      <c r="AC1011" s="350"/>
      <c r="AD1011" s="350"/>
      <c r="AE1011" s="350"/>
      <c r="AF1011" s="350"/>
      <c r="AG1011" s="350"/>
      <c r="AH1011" s="350"/>
      <c r="AI1011" s="350"/>
    </row>
    <row r="1012" spans="24:35">
      <c r="X1012" s="350"/>
      <c r="Y1012" s="350"/>
      <c r="Z1012" s="350"/>
      <c r="AA1012" s="350"/>
      <c r="AB1012" s="350"/>
      <c r="AC1012" s="350"/>
      <c r="AD1012" s="350"/>
      <c r="AE1012" s="350"/>
      <c r="AF1012" s="350"/>
      <c r="AG1012" s="350"/>
      <c r="AH1012" s="350"/>
      <c r="AI1012" s="350"/>
    </row>
    <row r="1013" spans="24:35">
      <c r="X1013" s="350"/>
      <c r="Y1013" s="350"/>
      <c r="Z1013" s="350"/>
      <c r="AA1013" s="350"/>
      <c r="AB1013" s="350"/>
      <c r="AC1013" s="350"/>
      <c r="AD1013" s="350"/>
      <c r="AE1013" s="350"/>
      <c r="AF1013" s="350"/>
      <c r="AG1013" s="350"/>
      <c r="AH1013" s="350"/>
      <c r="AI1013" s="350"/>
    </row>
    <row r="1014" spans="24:35">
      <c r="X1014" s="350"/>
      <c r="Y1014" s="350"/>
      <c r="Z1014" s="350"/>
      <c r="AA1014" s="350"/>
      <c r="AB1014" s="350"/>
      <c r="AC1014" s="350"/>
      <c r="AD1014" s="350"/>
      <c r="AE1014" s="350"/>
      <c r="AF1014" s="350"/>
      <c r="AG1014" s="350"/>
      <c r="AH1014" s="350"/>
      <c r="AI1014" s="350"/>
    </row>
    <row r="1015" spans="24:35">
      <c r="X1015" s="350"/>
      <c r="Y1015" s="350"/>
      <c r="Z1015" s="350"/>
      <c r="AA1015" s="350"/>
      <c r="AB1015" s="350"/>
      <c r="AC1015" s="350"/>
      <c r="AD1015" s="350"/>
      <c r="AE1015" s="350"/>
      <c r="AF1015" s="350"/>
      <c r="AG1015" s="350"/>
      <c r="AH1015" s="350"/>
      <c r="AI1015" s="350"/>
    </row>
    <row r="1016" spans="24:35">
      <c r="X1016" s="350"/>
      <c r="Y1016" s="350"/>
      <c r="Z1016" s="350"/>
      <c r="AA1016" s="350"/>
      <c r="AB1016" s="350"/>
      <c r="AC1016" s="350"/>
      <c r="AD1016" s="350"/>
      <c r="AE1016" s="350"/>
      <c r="AF1016" s="350"/>
      <c r="AG1016" s="350"/>
      <c r="AH1016" s="350"/>
      <c r="AI1016" s="350"/>
    </row>
    <row r="1017" spans="24:35">
      <c r="X1017" s="350"/>
      <c r="Y1017" s="350"/>
      <c r="Z1017" s="350"/>
      <c r="AA1017" s="350"/>
      <c r="AB1017" s="350"/>
      <c r="AC1017" s="350"/>
      <c r="AD1017" s="350"/>
      <c r="AE1017" s="350"/>
      <c r="AF1017" s="350"/>
      <c r="AG1017" s="350"/>
      <c r="AH1017" s="350"/>
      <c r="AI1017" s="350"/>
    </row>
    <row r="1018" spans="24:35">
      <c r="X1018" s="350"/>
      <c r="Y1018" s="350"/>
      <c r="Z1018" s="350"/>
      <c r="AA1018" s="350"/>
      <c r="AB1018" s="350"/>
      <c r="AC1018" s="350"/>
      <c r="AD1018" s="350"/>
      <c r="AE1018" s="350"/>
      <c r="AF1018" s="350"/>
      <c r="AG1018" s="350"/>
      <c r="AH1018" s="350"/>
      <c r="AI1018" s="350"/>
    </row>
    <row r="1019" spans="24:35">
      <c r="X1019" s="350"/>
      <c r="Y1019" s="350"/>
      <c r="Z1019" s="350"/>
      <c r="AA1019" s="350"/>
      <c r="AB1019" s="350"/>
      <c r="AC1019" s="350"/>
      <c r="AD1019" s="350"/>
      <c r="AE1019" s="350"/>
      <c r="AF1019" s="350"/>
      <c r="AG1019" s="350"/>
      <c r="AH1019" s="350"/>
      <c r="AI1019" s="350"/>
    </row>
    <row r="1020" spans="24:35">
      <c r="X1020" s="350"/>
      <c r="Y1020" s="350"/>
      <c r="Z1020" s="350"/>
      <c r="AA1020" s="350"/>
      <c r="AB1020" s="350"/>
      <c r="AC1020" s="350"/>
      <c r="AD1020" s="350"/>
      <c r="AE1020" s="350"/>
      <c r="AF1020" s="350"/>
      <c r="AG1020" s="350"/>
      <c r="AH1020" s="350"/>
      <c r="AI1020" s="350"/>
    </row>
    <row r="1021" spans="24:35">
      <c r="X1021" s="350"/>
      <c r="Y1021" s="350"/>
      <c r="Z1021" s="350"/>
      <c r="AA1021" s="350"/>
      <c r="AB1021" s="350"/>
      <c r="AC1021" s="350"/>
      <c r="AD1021" s="350"/>
      <c r="AE1021" s="350"/>
      <c r="AF1021" s="350"/>
      <c r="AG1021" s="350"/>
      <c r="AH1021" s="350"/>
      <c r="AI1021" s="350"/>
    </row>
    <row r="1022" spans="24:35">
      <c r="X1022" s="350"/>
      <c r="Y1022" s="350"/>
      <c r="Z1022" s="350"/>
      <c r="AA1022" s="350"/>
      <c r="AB1022" s="350"/>
      <c r="AC1022" s="350"/>
      <c r="AD1022" s="350"/>
      <c r="AE1022" s="350"/>
      <c r="AF1022" s="350"/>
      <c r="AG1022" s="350"/>
      <c r="AH1022" s="350"/>
      <c r="AI1022" s="350"/>
    </row>
    <row r="1023" spans="24:35">
      <c r="X1023" s="350"/>
      <c r="Y1023" s="350"/>
      <c r="Z1023" s="350"/>
      <c r="AA1023" s="350"/>
      <c r="AB1023" s="350"/>
      <c r="AC1023" s="350"/>
      <c r="AD1023" s="350"/>
      <c r="AE1023" s="350"/>
      <c r="AF1023" s="350"/>
      <c r="AG1023" s="350"/>
      <c r="AH1023" s="350"/>
      <c r="AI1023" s="350"/>
    </row>
    <row r="1024" spans="24:35">
      <c r="X1024" s="350"/>
      <c r="Y1024" s="350"/>
      <c r="Z1024" s="350"/>
      <c r="AA1024" s="350"/>
      <c r="AB1024" s="350"/>
      <c r="AC1024" s="350"/>
      <c r="AD1024" s="350"/>
      <c r="AE1024" s="350"/>
      <c r="AF1024" s="350"/>
      <c r="AG1024" s="350"/>
      <c r="AH1024" s="350"/>
      <c r="AI1024" s="350"/>
    </row>
    <row r="1025" spans="24:35">
      <c r="X1025" s="350"/>
      <c r="Y1025" s="350"/>
      <c r="Z1025" s="350"/>
      <c r="AA1025" s="350"/>
      <c r="AB1025" s="350"/>
      <c r="AC1025" s="350"/>
      <c r="AD1025" s="350"/>
      <c r="AE1025" s="350"/>
      <c r="AF1025" s="350"/>
      <c r="AG1025" s="350"/>
      <c r="AH1025" s="350"/>
      <c r="AI1025" s="350"/>
    </row>
    <row r="1026" spans="24:35">
      <c r="X1026" s="350"/>
      <c r="Y1026" s="350"/>
      <c r="Z1026" s="350"/>
      <c r="AA1026" s="350"/>
      <c r="AB1026" s="350"/>
      <c r="AC1026" s="350"/>
      <c r="AD1026" s="350"/>
      <c r="AE1026" s="350"/>
      <c r="AF1026" s="350"/>
      <c r="AG1026" s="350"/>
      <c r="AH1026" s="350"/>
      <c r="AI1026" s="350"/>
    </row>
    <row r="1027" spans="24:35">
      <c r="X1027" s="350"/>
      <c r="Y1027" s="350"/>
      <c r="Z1027" s="350"/>
      <c r="AA1027" s="350"/>
      <c r="AB1027" s="350"/>
      <c r="AC1027" s="350"/>
      <c r="AD1027" s="350"/>
      <c r="AE1027" s="350"/>
      <c r="AF1027" s="350"/>
      <c r="AG1027" s="350"/>
      <c r="AH1027" s="350"/>
      <c r="AI1027" s="350"/>
    </row>
    <row r="1028" spans="24:35">
      <c r="X1028" s="350"/>
      <c r="Y1028" s="350"/>
      <c r="Z1028" s="350"/>
      <c r="AA1028" s="350"/>
      <c r="AB1028" s="350"/>
      <c r="AC1028" s="350"/>
      <c r="AD1028" s="350"/>
      <c r="AE1028" s="350"/>
      <c r="AF1028" s="350"/>
      <c r="AG1028" s="350"/>
      <c r="AH1028" s="350"/>
      <c r="AI1028" s="350"/>
    </row>
    <row r="1029" spans="24:35">
      <c r="X1029" s="350"/>
      <c r="Y1029" s="350"/>
      <c r="Z1029" s="350"/>
      <c r="AA1029" s="350"/>
      <c r="AB1029" s="350"/>
      <c r="AC1029" s="350"/>
      <c r="AD1029" s="350"/>
      <c r="AE1029" s="350"/>
      <c r="AF1029" s="350"/>
      <c r="AG1029" s="350"/>
      <c r="AH1029" s="350"/>
      <c r="AI1029" s="350"/>
    </row>
    <row r="1030" spans="24:35">
      <c r="X1030" s="350"/>
      <c r="Y1030" s="350"/>
      <c r="Z1030" s="350"/>
      <c r="AA1030" s="350"/>
      <c r="AB1030" s="350"/>
      <c r="AC1030" s="350"/>
      <c r="AD1030" s="350"/>
      <c r="AE1030" s="350"/>
      <c r="AF1030" s="350"/>
      <c r="AG1030" s="350"/>
      <c r="AH1030" s="350"/>
      <c r="AI1030" s="350"/>
    </row>
    <row r="1031" spans="24:35">
      <c r="X1031" s="350"/>
      <c r="Y1031" s="350"/>
      <c r="Z1031" s="350"/>
      <c r="AA1031" s="350"/>
      <c r="AB1031" s="350"/>
      <c r="AC1031" s="350"/>
      <c r="AD1031" s="350"/>
      <c r="AE1031" s="350"/>
      <c r="AF1031" s="350"/>
      <c r="AG1031" s="350"/>
      <c r="AH1031" s="350"/>
      <c r="AI1031" s="350"/>
    </row>
    <row r="1032" spans="24:35">
      <c r="X1032" s="350"/>
      <c r="Y1032" s="350"/>
      <c r="Z1032" s="350"/>
      <c r="AA1032" s="350"/>
      <c r="AB1032" s="350"/>
      <c r="AC1032" s="350"/>
      <c r="AD1032" s="350"/>
      <c r="AE1032" s="350"/>
      <c r="AF1032" s="350"/>
      <c r="AG1032" s="350"/>
      <c r="AH1032" s="350"/>
      <c r="AI1032" s="350"/>
    </row>
    <row r="1033" spans="24:35">
      <c r="X1033" s="350"/>
      <c r="Y1033" s="350"/>
      <c r="Z1033" s="350"/>
      <c r="AA1033" s="350"/>
      <c r="AB1033" s="350"/>
      <c r="AC1033" s="350"/>
      <c r="AD1033" s="350"/>
      <c r="AE1033" s="350"/>
      <c r="AF1033" s="350"/>
      <c r="AG1033" s="350"/>
      <c r="AH1033" s="350"/>
      <c r="AI1033" s="350"/>
    </row>
    <row r="1034" spans="24:35">
      <c r="X1034" s="350"/>
      <c r="Y1034" s="350"/>
      <c r="Z1034" s="350"/>
      <c r="AA1034" s="350"/>
      <c r="AB1034" s="350"/>
      <c r="AC1034" s="350"/>
      <c r="AD1034" s="350"/>
      <c r="AE1034" s="350"/>
      <c r="AF1034" s="350"/>
      <c r="AG1034" s="350"/>
      <c r="AH1034" s="350"/>
      <c r="AI1034" s="350"/>
    </row>
    <row r="1035" spans="24:35">
      <c r="X1035" s="350"/>
      <c r="Y1035" s="350"/>
      <c r="Z1035" s="350"/>
      <c r="AA1035" s="350"/>
      <c r="AB1035" s="350"/>
      <c r="AC1035" s="350"/>
      <c r="AD1035" s="350"/>
      <c r="AE1035" s="350"/>
      <c r="AF1035" s="350"/>
      <c r="AG1035" s="350"/>
      <c r="AH1035" s="350"/>
      <c r="AI1035" s="350"/>
    </row>
    <row r="1036" spans="24:35">
      <c r="X1036" s="350"/>
      <c r="Y1036" s="350"/>
      <c r="Z1036" s="350"/>
      <c r="AA1036" s="350"/>
      <c r="AB1036" s="350"/>
      <c r="AC1036" s="350"/>
      <c r="AD1036" s="350"/>
      <c r="AE1036" s="350"/>
      <c r="AF1036" s="350"/>
      <c r="AG1036" s="350"/>
      <c r="AH1036" s="350"/>
      <c r="AI1036" s="350"/>
    </row>
    <row r="1037" spans="24:35">
      <c r="X1037" s="350"/>
      <c r="Y1037" s="350"/>
      <c r="Z1037" s="350"/>
      <c r="AA1037" s="350"/>
      <c r="AB1037" s="350"/>
      <c r="AC1037" s="350"/>
      <c r="AD1037" s="350"/>
      <c r="AE1037" s="350"/>
      <c r="AF1037" s="350"/>
      <c r="AG1037" s="350"/>
      <c r="AH1037" s="350"/>
      <c r="AI1037" s="350"/>
    </row>
    <row r="1038" spans="24:35">
      <c r="X1038" s="350"/>
      <c r="Y1038" s="350"/>
      <c r="Z1038" s="350"/>
      <c r="AA1038" s="350"/>
      <c r="AB1038" s="350"/>
      <c r="AC1038" s="350"/>
      <c r="AD1038" s="350"/>
      <c r="AE1038" s="350"/>
      <c r="AF1038" s="350"/>
      <c r="AG1038" s="350"/>
      <c r="AH1038" s="350"/>
      <c r="AI1038" s="350"/>
    </row>
    <row r="1039" spans="24:35">
      <c r="X1039" s="350"/>
      <c r="Y1039" s="350"/>
      <c r="Z1039" s="350"/>
      <c r="AA1039" s="350"/>
      <c r="AB1039" s="350"/>
      <c r="AC1039" s="350"/>
      <c r="AD1039" s="350"/>
      <c r="AE1039" s="350"/>
      <c r="AF1039" s="350"/>
      <c r="AG1039" s="350"/>
      <c r="AH1039" s="350"/>
      <c r="AI1039" s="350"/>
    </row>
    <row r="1040" spans="24:35">
      <c r="X1040" s="350"/>
      <c r="Y1040" s="350"/>
      <c r="Z1040" s="350"/>
      <c r="AA1040" s="350"/>
      <c r="AB1040" s="350"/>
      <c r="AC1040" s="350"/>
      <c r="AD1040" s="350"/>
      <c r="AE1040" s="350"/>
      <c r="AF1040" s="350"/>
      <c r="AG1040" s="350"/>
      <c r="AH1040" s="350"/>
      <c r="AI1040" s="350"/>
    </row>
    <row r="1041" spans="24:35">
      <c r="X1041" s="350"/>
      <c r="Y1041" s="350"/>
      <c r="Z1041" s="350"/>
      <c r="AA1041" s="350"/>
      <c r="AB1041" s="350"/>
      <c r="AC1041" s="350"/>
      <c r="AD1041" s="350"/>
      <c r="AE1041" s="350"/>
      <c r="AF1041" s="350"/>
      <c r="AG1041" s="350"/>
      <c r="AH1041" s="350"/>
      <c r="AI1041" s="350"/>
    </row>
    <row r="1042" spans="24:35">
      <c r="X1042" s="350"/>
      <c r="Y1042" s="350"/>
      <c r="Z1042" s="350"/>
      <c r="AA1042" s="350"/>
      <c r="AB1042" s="350"/>
      <c r="AC1042" s="350"/>
      <c r="AD1042" s="350"/>
      <c r="AE1042" s="350"/>
      <c r="AF1042" s="350"/>
      <c r="AG1042" s="350"/>
      <c r="AH1042" s="350"/>
      <c r="AI1042" s="350"/>
    </row>
    <row r="1043" spans="24:35">
      <c r="X1043" s="350"/>
      <c r="Y1043" s="350"/>
      <c r="Z1043" s="350"/>
      <c r="AA1043" s="350"/>
      <c r="AB1043" s="350"/>
      <c r="AC1043" s="350"/>
      <c r="AD1043" s="350"/>
      <c r="AE1043" s="350"/>
      <c r="AF1043" s="350"/>
      <c r="AG1043" s="350"/>
      <c r="AH1043" s="350"/>
      <c r="AI1043" s="350"/>
    </row>
    <row r="1044" spans="24:35">
      <c r="X1044" s="350"/>
      <c r="Y1044" s="350"/>
      <c r="Z1044" s="350"/>
      <c r="AA1044" s="350"/>
      <c r="AB1044" s="350"/>
      <c r="AC1044" s="350"/>
      <c r="AD1044" s="350"/>
      <c r="AE1044" s="350"/>
      <c r="AF1044" s="350"/>
      <c r="AG1044" s="350"/>
      <c r="AH1044" s="350"/>
      <c r="AI1044" s="350"/>
    </row>
    <row r="1045" spans="24:35">
      <c r="X1045" s="350"/>
      <c r="Y1045" s="350"/>
      <c r="Z1045" s="350"/>
      <c r="AA1045" s="350"/>
      <c r="AB1045" s="350"/>
      <c r="AC1045" s="350"/>
      <c r="AD1045" s="350"/>
      <c r="AE1045" s="350"/>
      <c r="AF1045" s="350"/>
      <c r="AG1045" s="350"/>
      <c r="AH1045" s="350"/>
      <c r="AI1045" s="350"/>
    </row>
    <row r="1046" spans="24:35">
      <c r="X1046" s="350"/>
      <c r="Y1046" s="350"/>
      <c r="Z1046" s="350"/>
      <c r="AA1046" s="350"/>
      <c r="AB1046" s="350"/>
      <c r="AC1046" s="350"/>
      <c r="AD1046" s="350"/>
      <c r="AE1046" s="350"/>
      <c r="AF1046" s="350"/>
      <c r="AG1046" s="350"/>
      <c r="AH1046" s="350"/>
      <c r="AI1046" s="350"/>
    </row>
    <row r="1047" spans="24:35">
      <c r="X1047" s="350"/>
      <c r="Y1047" s="350"/>
      <c r="Z1047" s="350"/>
      <c r="AA1047" s="350"/>
      <c r="AB1047" s="350"/>
      <c r="AC1047" s="350"/>
      <c r="AD1047" s="350"/>
      <c r="AE1047" s="350"/>
      <c r="AF1047" s="350"/>
      <c r="AG1047" s="350"/>
      <c r="AH1047" s="350"/>
      <c r="AI1047" s="350"/>
    </row>
    <row r="1048" spans="24:35">
      <c r="X1048" s="350"/>
      <c r="Y1048" s="350"/>
      <c r="Z1048" s="350"/>
      <c r="AA1048" s="350"/>
      <c r="AB1048" s="350"/>
      <c r="AC1048" s="350"/>
      <c r="AD1048" s="350"/>
      <c r="AE1048" s="350"/>
      <c r="AF1048" s="350"/>
      <c r="AG1048" s="350"/>
      <c r="AH1048" s="350"/>
      <c r="AI1048" s="350"/>
    </row>
    <row r="1049" spans="24:35">
      <c r="X1049" s="350"/>
      <c r="Y1049" s="350"/>
      <c r="Z1049" s="350"/>
      <c r="AA1049" s="350"/>
      <c r="AB1049" s="350"/>
      <c r="AC1049" s="350"/>
      <c r="AD1049" s="350"/>
      <c r="AE1049" s="350"/>
      <c r="AF1049" s="350"/>
      <c r="AG1049" s="350"/>
      <c r="AH1049" s="350"/>
      <c r="AI1049" s="350"/>
    </row>
    <row r="1050" spans="24:35">
      <c r="X1050" s="350"/>
      <c r="Y1050" s="350"/>
      <c r="Z1050" s="350"/>
      <c r="AA1050" s="350"/>
      <c r="AB1050" s="350"/>
      <c r="AC1050" s="350"/>
      <c r="AD1050" s="350"/>
      <c r="AE1050" s="350"/>
      <c r="AF1050" s="350"/>
      <c r="AG1050" s="350"/>
      <c r="AH1050" s="350"/>
      <c r="AI1050" s="350"/>
    </row>
    <row r="1051" spans="24:35">
      <c r="X1051" s="350"/>
      <c r="Y1051" s="350"/>
      <c r="Z1051" s="350"/>
      <c r="AA1051" s="350"/>
      <c r="AB1051" s="350"/>
      <c r="AC1051" s="350"/>
      <c r="AD1051" s="350"/>
      <c r="AE1051" s="350"/>
      <c r="AF1051" s="350"/>
      <c r="AG1051" s="350"/>
      <c r="AH1051" s="350"/>
      <c r="AI1051" s="350"/>
    </row>
    <row r="1052" spans="24:35">
      <c r="X1052" s="350"/>
      <c r="Y1052" s="350"/>
      <c r="Z1052" s="350"/>
      <c r="AA1052" s="350"/>
      <c r="AB1052" s="350"/>
      <c r="AC1052" s="350"/>
      <c r="AD1052" s="350"/>
      <c r="AE1052" s="350"/>
      <c r="AF1052" s="350"/>
      <c r="AG1052" s="350"/>
      <c r="AH1052" s="350"/>
      <c r="AI1052" s="350"/>
    </row>
    <row r="1053" spans="24:35">
      <c r="X1053" s="350"/>
      <c r="Y1053" s="350"/>
      <c r="Z1053" s="350"/>
      <c r="AA1053" s="350"/>
      <c r="AB1053" s="350"/>
      <c r="AC1053" s="350"/>
      <c r="AD1053" s="350"/>
      <c r="AE1053" s="350"/>
      <c r="AF1053" s="350"/>
      <c r="AG1053" s="350"/>
      <c r="AH1053" s="350"/>
      <c r="AI1053" s="350"/>
    </row>
    <row r="1054" spans="24:35">
      <c r="X1054" s="350"/>
      <c r="Y1054" s="350"/>
      <c r="Z1054" s="350"/>
      <c r="AA1054" s="350"/>
      <c r="AB1054" s="350"/>
      <c r="AC1054" s="350"/>
      <c r="AD1054" s="350"/>
      <c r="AE1054" s="350"/>
      <c r="AF1054" s="350"/>
      <c r="AG1054" s="350"/>
      <c r="AH1054" s="350"/>
      <c r="AI1054" s="350"/>
    </row>
    <row r="1055" spans="24:35">
      <c r="X1055" s="350"/>
      <c r="Y1055" s="350"/>
      <c r="Z1055" s="350"/>
      <c r="AA1055" s="350"/>
      <c r="AB1055" s="350"/>
      <c r="AC1055" s="350"/>
      <c r="AD1055" s="350"/>
      <c r="AE1055" s="350"/>
      <c r="AF1055" s="350"/>
      <c r="AG1055" s="350"/>
      <c r="AH1055" s="350"/>
      <c r="AI1055" s="350"/>
    </row>
    <row r="1056" spans="24:35">
      <c r="X1056" s="350"/>
      <c r="Y1056" s="350"/>
      <c r="Z1056" s="350"/>
      <c r="AA1056" s="350"/>
      <c r="AB1056" s="350"/>
      <c r="AC1056" s="350"/>
      <c r="AD1056" s="350"/>
      <c r="AE1056" s="350"/>
      <c r="AF1056" s="350"/>
      <c r="AG1056" s="350"/>
      <c r="AH1056" s="350"/>
      <c r="AI1056" s="350"/>
    </row>
  </sheetData>
  <mergeCells count="4">
    <mergeCell ref="B1:Z1"/>
    <mergeCell ref="B3:Z3"/>
    <mergeCell ref="B5:Z5"/>
    <mergeCell ref="B398:C398"/>
  </mergeCells>
  <phoneticPr fontId="53" type="noConversion"/>
  <pageMargins left="0.7" right="0.7" top="0.75" bottom="0.75" header="0.3" footer="0.3"/>
  <pageSetup scale="19" orientation="portrait" horizontalDpi="1200" verticalDpi="1200" r:id="rId1"/>
  <rowBreaks count="3" manualBreakCount="3">
    <brk id="127" max="32" man="1"/>
    <brk id="217" max="32" man="1"/>
    <brk id="257" max="3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23">
    <pageSetUpPr fitToPage="1"/>
  </sheetPr>
  <dimension ref="A1:AF105"/>
  <sheetViews>
    <sheetView zoomScale="70" zoomScaleNormal="70" workbookViewId="0">
      <pane ySplit="10" topLeftCell="A11" activePane="bottomLeft" state="frozen"/>
      <selection pane="bottomLeft" sqref="A1:AC1"/>
    </sheetView>
  </sheetViews>
  <sheetFormatPr defaultColWidth="9.88671875" defaultRowHeight="15.75"/>
  <cols>
    <col min="1" max="1" width="37.6640625" style="1" customWidth="1"/>
    <col min="2" max="2" width="2.44140625" style="1" customWidth="1"/>
    <col min="3" max="3" width="20.6640625" style="1" customWidth="1"/>
    <col min="4" max="4" width="2.21875" style="1" customWidth="1"/>
    <col min="5" max="9" width="10.21875" style="271" customWidth="1"/>
    <col min="10" max="10" width="12" style="271" bestFit="1" customWidth="1"/>
    <col min="11" max="11" width="10.21875" style="271" customWidth="1"/>
    <col min="12" max="12" width="2.21875" style="271" customWidth="1"/>
    <col min="13" max="13" width="6" style="1" hidden="1" customWidth="1"/>
    <col min="14" max="14" width="10.21875" style="1" hidden="1" customWidth="1"/>
    <col min="15" max="15" width="2.21875" style="271" hidden="1" customWidth="1"/>
    <col min="16" max="16" width="6.21875" style="1" hidden="1" customWidth="1"/>
    <col min="17" max="17" width="10.21875" style="1" hidden="1" customWidth="1"/>
    <col min="18" max="18" width="1.88671875" style="1" hidden="1" customWidth="1"/>
    <col min="19" max="19" width="5.88671875" style="1" hidden="1" customWidth="1"/>
    <col min="20" max="20" width="10.21875" style="1" hidden="1" customWidth="1"/>
    <col min="21" max="21" width="1.88671875" style="1" hidden="1" customWidth="1"/>
    <col min="22" max="22" width="6.109375" style="1" hidden="1" customWidth="1"/>
    <col min="23" max="23" width="10.21875" style="1" hidden="1" customWidth="1"/>
    <col min="24" max="24" width="1.88671875" style="1" hidden="1" customWidth="1"/>
    <col min="25" max="25" width="10.6640625" style="1" customWidth="1"/>
    <col min="26" max="26" width="15.6640625" style="282" customWidth="1"/>
    <col min="27" max="27" width="1.88671875" style="1" customWidth="1"/>
    <col min="28" max="29" width="12.6640625" style="1" customWidth="1"/>
    <col min="30" max="30" width="9.6640625" style="1" bestFit="1" customWidth="1"/>
    <col min="31" max="31" width="21.21875" style="1" bestFit="1" customWidth="1"/>
    <col min="32" max="16384" width="9.88671875" style="1"/>
  </cols>
  <sheetData>
    <row r="1" spans="1:31" ht="16.5">
      <c r="A1" s="954" t="s">
        <v>585</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row>
    <row r="2" spans="1:31" ht="13.5" customHeight="1">
      <c r="A2" s="272"/>
      <c r="B2" s="663"/>
      <c r="C2" s="663"/>
      <c r="D2" s="663"/>
      <c r="E2" s="718"/>
      <c r="F2" s="718"/>
      <c r="G2" s="718"/>
      <c r="H2" s="718"/>
      <c r="I2" s="718"/>
      <c r="J2" s="718"/>
      <c r="K2" s="718"/>
      <c r="L2" s="718"/>
      <c r="M2" s="663"/>
      <c r="N2" s="663"/>
      <c r="O2" s="718"/>
      <c r="P2" s="663"/>
      <c r="Q2" s="663"/>
      <c r="R2" s="663"/>
      <c r="S2" s="663"/>
      <c r="T2" s="663"/>
      <c r="U2" s="663"/>
      <c r="V2" s="663"/>
      <c r="W2" s="663"/>
      <c r="X2" s="663"/>
    </row>
    <row r="3" spans="1:31" ht="16.5">
      <c r="A3" s="954" t="s">
        <v>210</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row>
    <row r="4" spans="1:31">
      <c r="A4" s="955" t="str">
        <f>+'WP-1 - Summary Depr'!A5</f>
        <v>In Support of Tariff 8 effective April 1, 2025</v>
      </c>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5" spans="1:31">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664"/>
      <c r="AA5" s="280"/>
      <c r="AB5" s="280"/>
      <c r="AC5" s="280"/>
    </row>
    <row r="6" spans="1:31">
      <c r="A6" s="276"/>
      <c r="B6" s="663"/>
    </row>
    <row r="7" spans="1:31">
      <c r="A7" s="276"/>
      <c r="B7" s="663"/>
      <c r="C7" s="957" t="s">
        <v>969</v>
      </c>
      <c r="D7" s="2"/>
      <c r="E7" s="665"/>
      <c r="F7" s="665"/>
      <c r="G7" s="665"/>
      <c r="H7" s="665"/>
      <c r="I7" s="665"/>
      <c r="J7" s="665"/>
      <c r="K7" s="665"/>
      <c r="L7" s="665"/>
      <c r="M7" s="928"/>
      <c r="N7" s="928"/>
      <c r="O7" s="928"/>
      <c r="P7" s="928"/>
      <c r="Q7" s="928"/>
      <c r="R7" s="928"/>
      <c r="S7" s="928"/>
      <c r="T7" s="928"/>
      <c r="U7" s="928"/>
      <c r="V7" s="928"/>
      <c r="W7" s="928"/>
      <c r="X7" s="2"/>
      <c r="AB7" s="2"/>
      <c r="AC7" s="904"/>
    </row>
    <row r="8" spans="1:31" ht="22.5">
      <c r="B8" s="663"/>
      <c r="C8" s="957"/>
      <c r="D8" s="4"/>
      <c r="E8" s="666"/>
      <c r="F8" s="666"/>
      <c r="G8" s="666"/>
      <c r="H8" s="666"/>
      <c r="I8" s="666"/>
      <c r="J8" s="666"/>
      <c r="K8" s="273" t="s">
        <v>145</v>
      </c>
      <c r="L8" s="273"/>
      <c r="M8" s="958" t="s">
        <v>159</v>
      </c>
      <c r="N8" s="958"/>
      <c r="O8" s="273"/>
      <c r="P8" s="958" t="s">
        <v>158</v>
      </c>
      <c r="Q8" s="958"/>
      <c r="R8" s="4"/>
      <c r="S8" s="958" t="s">
        <v>159</v>
      </c>
      <c r="T8" s="958"/>
      <c r="U8" s="4"/>
      <c r="V8" s="958" t="s">
        <v>158</v>
      </c>
      <c r="W8" s="958"/>
      <c r="X8" s="4"/>
      <c r="Y8" s="3"/>
      <c r="Z8" s="638"/>
      <c r="AB8" s="2" t="s">
        <v>33</v>
      </c>
      <c r="AC8" s="2" t="s">
        <v>34</v>
      </c>
      <c r="AD8" s="1" t="s">
        <v>856</v>
      </c>
      <c r="AE8" s="1" t="s">
        <v>912</v>
      </c>
    </row>
    <row r="9" spans="1:31">
      <c r="B9" s="663"/>
      <c r="C9" s="273" t="s">
        <v>121</v>
      </c>
      <c r="D9" s="273"/>
      <c r="E9" s="273" t="s">
        <v>116</v>
      </c>
      <c r="F9" s="273" t="s">
        <v>122</v>
      </c>
      <c r="G9" s="273" t="s">
        <v>584</v>
      </c>
      <c r="H9" s="273" t="s">
        <v>216</v>
      </c>
      <c r="I9" s="273" t="s">
        <v>123</v>
      </c>
      <c r="J9" s="273" t="s">
        <v>971</v>
      </c>
      <c r="K9" s="273" t="s">
        <v>0</v>
      </c>
      <c r="L9" s="273"/>
      <c r="M9" s="956" t="s">
        <v>221</v>
      </c>
      <c r="N9" s="956"/>
      <c r="O9" s="273"/>
      <c r="P9" s="956" t="s">
        <v>221</v>
      </c>
      <c r="Q9" s="956"/>
      <c r="R9" s="273"/>
      <c r="S9" s="956" t="s">
        <v>222</v>
      </c>
      <c r="T9" s="956"/>
      <c r="U9" s="273"/>
      <c r="V9" s="956" t="s">
        <v>222</v>
      </c>
      <c r="W9" s="956"/>
      <c r="X9" s="273"/>
      <c r="Y9" s="928" t="s">
        <v>0</v>
      </c>
      <c r="Z9" s="928"/>
    </row>
    <row r="10" spans="1:31">
      <c r="A10" s="274" t="s">
        <v>1</v>
      </c>
      <c r="B10" s="667"/>
      <c r="C10" s="274" t="s">
        <v>131</v>
      </c>
      <c r="D10" s="274"/>
      <c r="E10" s="668" t="s">
        <v>2</v>
      </c>
      <c r="F10" s="668" t="s">
        <v>2</v>
      </c>
      <c r="G10" s="668" t="s">
        <v>2</v>
      </c>
      <c r="H10" s="668" t="s">
        <v>2</v>
      </c>
      <c r="I10" s="668" t="s">
        <v>2</v>
      </c>
      <c r="J10" s="668" t="s">
        <v>2</v>
      </c>
      <c r="K10" s="668" t="s">
        <v>2</v>
      </c>
      <c r="L10" s="273"/>
      <c r="M10" s="274" t="s">
        <v>2</v>
      </c>
      <c r="N10" s="274" t="s">
        <v>3</v>
      </c>
      <c r="O10" s="273"/>
      <c r="P10" s="274" t="s">
        <v>2</v>
      </c>
      <c r="Q10" s="274" t="s">
        <v>3</v>
      </c>
      <c r="R10" s="4"/>
      <c r="S10" s="274" t="s">
        <v>2</v>
      </c>
      <c r="T10" s="274" t="s">
        <v>3</v>
      </c>
      <c r="U10" s="4"/>
      <c r="V10" s="274" t="s">
        <v>2</v>
      </c>
      <c r="W10" s="274" t="s">
        <v>3</v>
      </c>
      <c r="X10" s="4"/>
      <c r="Y10" s="274" t="s">
        <v>2</v>
      </c>
      <c r="Z10" s="669" t="s">
        <v>3</v>
      </c>
    </row>
    <row r="11" spans="1:31">
      <c r="A11" s="269">
        <v>100</v>
      </c>
      <c r="C11" s="270">
        <v>145800.20000000001</v>
      </c>
      <c r="D11" s="270"/>
      <c r="E11" s="670">
        <v>2080</v>
      </c>
      <c r="F11" s="670">
        <v>0</v>
      </c>
      <c r="G11" s="670">
        <v>0</v>
      </c>
      <c r="H11" s="670">
        <v>0</v>
      </c>
      <c r="I11" s="670">
        <v>0</v>
      </c>
      <c r="J11" s="670">
        <v>0</v>
      </c>
      <c r="K11" s="577">
        <f>SUM(E11:J11)</f>
        <v>2080</v>
      </c>
      <c r="M11" s="270"/>
      <c r="N11" s="270"/>
      <c r="P11" s="270"/>
      <c r="Q11" s="270"/>
      <c r="R11" s="270"/>
      <c r="S11" s="270"/>
      <c r="T11" s="270"/>
      <c r="U11" s="270"/>
      <c r="V11" s="270"/>
      <c r="W11" s="270"/>
      <c r="X11" s="270"/>
      <c r="Y11" s="1">
        <f>K11+M11+P11+S11+V11</f>
        <v>2080</v>
      </c>
      <c r="Z11" s="282">
        <f>+C11+N11+Q11+T11+W11</f>
        <v>145800.20000000001</v>
      </c>
      <c r="AA11" s="270"/>
      <c r="AB11" s="270">
        <f>+Z11</f>
        <v>145800.20000000001</v>
      </c>
      <c r="AC11" s="270"/>
      <c r="AD11" s="270"/>
      <c r="AE11" s="270"/>
    </row>
    <row r="12" spans="1:31">
      <c r="A12" s="275" t="s">
        <v>357</v>
      </c>
      <c r="C12" s="671">
        <f>SUM(C11:C11)</f>
        <v>145800.20000000001</v>
      </c>
      <c r="D12" s="270"/>
      <c r="E12" s="672">
        <f t="shared" ref="E12:K12" si="0">SUM(E11:E11)</f>
        <v>2080</v>
      </c>
      <c r="F12" s="672">
        <f t="shared" si="0"/>
        <v>0</v>
      </c>
      <c r="G12" s="672">
        <f t="shared" si="0"/>
        <v>0</v>
      </c>
      <c r="H12" s="672">
        <f t="shared" si="0"/>
        <v>0</v>
      </c>
      <c r="I12" s="672">
        <f t="shared" si="0"/>
        <v>0</v>
      </c>
      <c r="J12" s="672">
        <f t="shared" si="0"/>
        <v>0</v>
      </c>
      <c r="K12" s="673">
        <f t="shared" si="0"/>
        <v>2080</v>
      </c>
      <c r="M12" s="671">
        <f>SUM(M11:M11)</f>
        <v>0</v>
      </c>
      <c r="N12" s="671">
        <f>SUM(N11:N11)</f>
        <v>0</v>
      </c>
      <c r="P12" s="671">
        <f>SUM(P11:P11)</f>
        <v>0</v>
      </c>
      <c r="Q12" s="671">
        <f>SUM(Q11:Q11)</f>
        <v>0</v>
      </c>
      <c r="R12" s="270"/>
      <c r="S12" s="671">
        <f>SUM(S11:S11)</f>
        <v>0</v>
      </c>
      <c r="T12" s="671">
        <f>SUM(T11:T11)</f>
        <v>0</v>
      </c>
      <c r="U12" s="270"/>
      <c r="V12" s="671">
        <f>SUM(V11:V11)</f>
        <v>0</v>
      </c>
      <c r="W12" s="671">
        <f>SUM(W11:W11)</f>
        <v>0</v>
      </c>
      <c r="X12" s="270"/>
      <c r="Y12" s="674">
        <f>SUM(Y11:Y11)</f>
        <v>2080</v>
      </c>
      <c r="Z12" s="675">
        <f>SUM(Z11:Z11)</f>
        <v>145800.20000000001</v>
      </c>
      <c r="AA12" s="270"/>
      <c r="AB12" s="270"/>
      <c r="AC12" s="270">
        <f>+Z12</f>
        <v>145800.20000000001</v>
      </c>
      <c r="AD12" s="1">
        <f>+AC12*'WP-11 - Non-Regulated'!$K$40</f>
        <v>80761.789992450373</v>
      </c>
      <c r="AE12" s="1" t="s">
        <v>913</v>
      </c>
    </row>
    <row r="13" spans="1:31">
      <c r="C13" s="270"/>
      <c r="D13" s="270"/>
      <c r="E13" s="670"/>
      <c r="F13" s="670"/>
      <c r="G13" s="670"/>
      <c r="H13" s="670"/>
      <c r="I13" s="670"/>
      <c r="J13" s="670"/>
      <c r="K13" s="577"/>
      <c r="M13" s="270"/>
      <c r="N13" s="270"/>
      <c r="P13" s="270"/>
      <c r="Q13" s="270"/>
      <c r="R13" s="270"/>
      <c r="S13" s="270"/>
      <c r="T13" s="270"/>
      <c r="U13" s="270"/>
      <c r="V13" s="270"/>
      <c r="W13" s="270"/>
      <c r="X13" s="270"/>
      <c r="Z13" s="676"/>
      <c r="AA13" s="677"/>
      <c r="AB13" s="677"/>
      <c r="AC13" s="677"/>
    </row>
    <row r="14" spans="1:31">
      <c r="A14" s="269">
        <v>10</v>
      </c>
      <c r="C14" s="270">
        <v>108212.3</v>
      </c>
      <c r="D14" s="270"/>
      <c r="E14" s="670">
        <v>1868.5</v>
      </c>
      <c r="F14" s="670">
        <v>227.75</v>
      </c>
      <c r="G14" s="670">
        <v>0</v>
      </c>
      <c r="H14" s="670">
        <v>195.11</v>
      </c>
      <c r="I14" s="670">
        <v>56</v>
      </c>
      <c r="J14" s="670">
        <v>0</v>
      </c>
      <c r="K14" s="577">
        <f>SUM(E14:J14)</f>
        <v>2347.36</v>
      </c>
      <c r="M14" s="270"/>
      <c r="N14" s="270"/>
      <c r="P14" s="270"/>
      <c r="Q14" s="270"/>
      <c r="R14" s="270"/>
      <c r="S14" s="270"/>
      <c r="T14" s="270"/>
      <c r="U14" s="270"/>
      <c r="V14" s="270"/>
      <c r="W14" s="270"/>
      <c r="X14" s="270"/>
      <c r="Y14" s="1">
        <f t="shared" ref="Y14:Y25" si="1">K14+M14+P14+S14+V14</f>
        <v>2347.36</v>
      </c>
      <c r="Z14" s="282">
        <f t="shared" ref="Z14:Z20" si="2">+C14+N14+Q14+T14+W14</f>
        <v>108212.3</v>
      </c>
      <c r="AA14" s="270"/>
      <c r="AB14" s="270">
        <f>+Z14</f>
        <v>108212.3</v>
      </c>
      <c r="AC14" s="270"/>
      <c r="AD14" s="270"/>
      <c r="AE14" s="270"/>
    </row>
    <row r="15" spans="1:31">
      <c r="A15" s="269">
        <v>11</v>
      </c>
      <c r="C15" s="270">
        <v>43399.98</v>
      </c>
      <c r="D15" s="270"/>
      <c r="E15" s="670">
        <v>1664</v>
      </c>
      <c r="F15" s="670">
        <v>0</v>
      </c>
      <c r="G15" s="670">
        <v>0</v>
      </c>
      <c r="H15" s="670">
        <v>0</v>
      </c>
      <c r="I15" s="670">
        <v>0</v>
      </c>
      <c r="J15" s="670">
        <v>0</v>
      </c>
      <c r="K15" s="577">
        <f t="shared" ref="K15:K20" si="3">SUM(E15:J15)</f>
        <v>1664</v>
      </c>
      <c r="M15" s="270"/>
      <c r="N15" s="270"/>
      <c r="P15" s="270"/>
      <c r="Q15" s="270"/>
      <c r="R15" s="270"/>
      <c r="S15" s="270"/>
      <c r="T15" s="270"/>
      <c r="U15" s="270"/>
      <c r="V15" s="270"/>
      <c r="W15" s="270"/>
      <c r="X15" s="270"/>
      <c r="Y15" s="1">
        <f t="shared" si="1"/>
        <v>1664</v>
      </c>
      <c r="Z15" s="282">
        <f t="shared" si="2"/>
        <v>43399.98</v>
      </c>
      <c r="AA15" s="270"/>
      <c r="AB15" s="270">
        <f t="shared" ref="AB15:AB20" si="4">+Z15</f>
        <v>43399.98</v>
      </c>
      <c r="AC15" s="270"/>
      <c r="AD15" s="270"/>
      <c r="AE15" s="270"/>
    </row>
    <row r="16" spans="1:31">
      <c r="A16" s="269">
        <v>12</v>
      </c>
      <c r="C16" s="270">
        <v>66104.02</v>
      </c>
      <c r="D16" s="270"/>
      <c r="E16" s="670">
        <v>1858.95</v>
      </c>
      <c r="F16" s="670">
        <v>68.52</v>
      </c>
      <c r="G16" s="670">
        <v>0</v>
      </c>
      <c r="H16" s="670">
        <v>172.83</v>
      </c>
      <c r="I16" s="670">
        <v>56</v>
      </c>
      <c r="J16" s="670">
        <v>0</v>
      </c>
      <c r="K16" s="577">
        <f t="shared" si="3"/>
        <v>2156.3000000000002</v>
      </c>
      <c r="M16" s="270"/>
      <c r="N16" s="270"/>
      <c r="P16" s="270"/>
      <c r="Q16" s="270"/>
      <c r="R16" s="270"/>
      <c r="S16" s="270"/>
      <c r="T16" s="270"/>
      <c r="U16" s="270"/>
      <c r="V16" s="270"/>
      <c r="W16" s="270"/>
      <c r="X16" s="270"/>
      <c r="Y16" s="1">
        <f t="shared" si="1"/>
        <v>2156.3000000000002</v>
      </c>
      <c r="Z16" s="282">
        <f t="shared" si="2"/>
        <v>66104.02</v>
      </c>
      <c r="AA16" s="270"/>
      <c r="AB16" s="270">
        <f t="shared" si="4"/>
        <v>66104.02</v>
      </c>
      <c r="AC16" s="270"/>
      <c r="AD16" s="270"/>
      <c r="AE16" s="270"/>
    </row>
    <row r="17" spans="1:32">
      <c r="A17" s="269">
        <v>13</v>
      </c>
      <c r="C17" s="270">
        <v>42616.01</v>
      </c>
      <c r="D17" s="270"/>
      <c r="E17" s="670">
        <v>1935.96</v>
      </c>
      <c r="F17" s="670">
        <v>38</v>
      </c>
      <c r="G17" s="670">
        <v>0</v>
      </c>
      <c r="H17" s="670">
        <v>98.57</v>
      </c>
      <c r="I17" s="670">
        <v>56</v>
      </c>
      <c r="J17" s="670">
        <v>0</v>
      </c>
      <c r="K17" s="577">
        <f t="shared" si="3"/>
        <v>2128.5300000000002</v>
      </c>
      <c r="M17" s="270"/>
      <c r="N17" s="270"/>
      <c r="P17" s="270"/>
      <c r="Q17" s="270"/>
      <c r="R17" s="270"/>
      <c r="S17" s="270"/>
      <c r="T17" s="270"/>
      <c r="U17" s="270"/>
      <c r="V17" s="270"/>
      <c r="W17" s="270"/>
      <c r="X17" s="270"/>
      <c r="Y17" s="1">
        <f t="shared" si="1"/>
        <v>2128.5300000000002</v>
      </c>
      <c r="Z17" s="282">
        <f t="shared" si="2"/>
        <v>42616.01</v>
      </c>
      <c r="AA17" s="270"/>
      <c r="AB17" s="270">
        <f t="shared" si="4"/>
        <v>42616.01</v>
      </c>
      <c r="AC17" s="270"/>
      <c r="AD17" s="270"/>
      <c r="AE17" s="270"/>
    </row>
    <row r="18" spans="1:32">
      <c r="A18" s="269">
        <v>14</v>
      </c>
      <c r="C18" s="270">
        <v>84117.18</v>
      </c>
      <c r="D18" s="270"/>
      <c r="E18" s="670">
        <v>1820.87</v>
      </c>
      <c r="F18" s="670">
        <v>9.24</v>
      </c>
      <c r="G18" s="670">
        <v>0</v>
      </c>
      <c r="H18" s="670">
        <v>194.18</v>
      </c>
      <c r="I18" s="670">
        <v>56</v>
      </c>
      <c r="J18" s="670">
        <v>0</v>
      </c>
      <c r="K18" s="577">
        <f t="shared" si="3"/>
        <v>2080.29</v>
      </c>
      <c r="M18" s="270"/>
      <c r="N18" s="270"/>
      <c r="P18" s="270"/>
      <c r="Q18" s="270"/>
      <c r="R18" s="270"/>
      <c r="S18" s="270"/>
      <c r="T18" s="270"/>
      <c r="U18" s="270"/>
      <c r="V18" s="270"/>
      <c r="W18" s="270"/>
      <c r="X18" s="270"/>
      <c r="Y18" s="1">
        <f>K18+M18+P18+S18+V18</f>
        <v>2080.29</v>
      </c>
      <c r="Z18" s="282">
        <f t="shared" si="2"/>
        <v>84117.18</v>
      </c>
      <c r="AA18" s="270"/>
      <c r="AB18" s="270">
        <f t="shared" si="4"/>
        <v>84117.18</v>
      </c>
      <c r="AC18" s="270"/>
      <c r="AD18" s="270"/>
      <c r="AE18" s="270"/>
    </row>
    <row r="19" spans="1:32">
      <c r="A19" s="269">
        <v>15</v>
      </c>
      <c r="C19" s="270">
        <v>195049.49</v>
      </c>
      <c r="D19" s="270"/>
      <c r="E19" s="670">
        <v>1917.43</v>
      </c>
      <c r="F19" s="670">
        <v>123.71</v>
      </c>
      <c r="G19" s="670">
        <v>0</v>
      </c>
      <c r="H19" s="670">
        <v>203.57</v>
      </c>
      <c r="I19" s="670">
        <v>56</v>
      </c>
      <c r="J19" s="670">
        <v>0</v>
      </c>
      <c r="K19" s="577">
        <f t="shared" si="3"/>
        <v>2300.71</v>
      </c>
      <c r="M19" s="270"/>
      <c r="N19" s="270"/>
      <c r="P19" s="270"/>
      <c r="Q19" s="270"/>
      <c r="R19" s="270"/>
      <c r="S19" s="270"/>
      <c r="T19" s="270"/>
      <c r="U19" s="270"/>
      <c r="V19" s="270"/>
      <c r="W19" s="270"/>
      <c r="X19" s="270"/>
      <c r="Y19" s="1">
        <f>K19+M19+P19+S19+V19</f>
        <v>2300.71</v>
      </c>
      <c r="Z19" s="282">
        <f t="shared" si="2"/>
        <v>195049.49</v>
      </c>
      <c r="AA19" s="270"/>
      <c r="AB19" s="270">
        <f t="shared" si="4"/>
        <v>195049.49</v>
      </c>
      <c r="AC19" s="270"/>
      <c r="AD19" s="270"/>
      <c r="AE19" s="270"/>
    </row>
    <row r="20" spans="1:32">
      <c r="A20" s="269">
        <v>16</v>
      </c>
      <c r="C20" s="278">
        <v>62696.61</v>
      </c>
      <c r="D20" s="270"/>
      <c r="E20" s="678">
        <v>1847.86</v>
      </c>
      <c r="F20" s="678">
        <v>7.53</v>
      </c>
      <c r="G20" s="678">
        <v>0</v>
      </c>
      <c r="H20" s="678">
        <v>210.11</v>
      </c>
      <c r="I20" s="678">
        <v>56</v>
      </c>
      <c r="J20" s="678">
        <v>15.62</v>
      </c>
      <c r="K20" s="578">
        <f t="shared" si="3"/>
        <v>2137.12</v>
      </c>
      <c r="M20" s="270"/>
      <c r="N20" s="270"/>
      <c r="P20" s="270"/>
      <c r="Q20" s="270"/>
      <c r="R20" s="270"/>
      <c r="S20" s="270"/>
      <c r="T20" s="270"/>
      <c r="U20" s="270"/>
      <c r="V20" s="270"/>
      <c r="W20" s="270"/>
      <c r="X20" s="270"/>
      <c r="Y20" s="544">
        <f t="shared" si="1"/>
        <v>2137.12</v>
      </c>
      <c r="Z20" s="633">
        <f t="shared" si="2"/>
        <v>62696.61</v>
      </c>
      <c r="AA20" s="270"/>
      <c r="AB20" s="270">
        <f t="shared" si="4"/>
        <v>62696.61</v>
      </c>
      <c r="AC20" s="270"/>
      <c r="AD20" s="270"/>
      <c r="AE20" s="270"/>
    </row>
    <row r="21" spans="1:32">
      <c r="A21" s="275" t="s">
        <v>356</v>
      </c>
      <c r="C21" s="277">
        <f>SUM(C14:C20)</f>
        <v>602195.59</v>
      </c>
      <c r="D21" s="270"/>
      <c r="E21" s="679">
        <f>SUM(E14:E20)</f>
        <v>12913.57</v>
      </c>
      <c r="F21" s="679">
        <f t="shared" ref="F21:J21" si="5">SUM(F14:F20)</f>
        <v>474.74999999999994</v>
      </c>
      <c r="G21" s="679">
        <f t="shared" si="5"/>
        <v>0</v>
      </c>
      <c r="H21" s="679">
        <f t="shared" si="5"/>
        <v>1074.3699999999999</v>
      </c>
      <c r="I21" s="679">
        <f t="shared" si="5"/>
        <v>336</v>
      </c>
      <c r="J21" s="679">
        <f t="shared" si="5"/>
        <v>15.62</v>
      </c>
      <c r="K21" s="680">
        <f>SUM(K14:K20)</f>
        <v>14814.309999999998</v>
      </c>
      <c r="M21" s="277" t="e">
        <f>SUM(#REF!)</f>
        <v>#REF!</v>
      </c>
      <c r="N21" s="277" t="e">
        <f>SUM(#REF!)</f>
        <v>#REF!</v>
      </c>
      <c r="P21" s="277" t="e">
        <f>SUM(#REF!)</f>
        <v>#REF!</v>
      </c>
      <c r="Q21" s="277" t="e">
        <f>SUM(#REF!)</f>
        <v>#REF!</v>
      </c>
      <c r="R21" s="270"/>
      <c r="S21" s="277" t="e">
        <f>SUM(#REF!)</f>
        <v>#REF!</v>
      </c>
      <c r="T21" s="277" t="e">
        <f>SUM(#REF!)</f>
        <v>#REF!</v>
      </c>
      <c r="U21" s="270"/>
      <c r="V21" s="277" t="e">
        <f>SUM(#REF!)</f>
        <v>#REF!</v>
      </c>
      <c r="W21" s="277" t="e">
        <f>SUM(#REF!)</f>
        <v>#REF!</v>
      </c>
      <c r="X21" s="270"/>
      <c r="Y21" s="681">
        <f>SUM(Y14:Y20)</f>
        <v>14814.309999999998</v>
      </c>
      <c r="Z21" s="682">
        <f>SUM(Z14:Z20)</f>
        <v>602195.59</v>
      </c>
      <c r="AA21" s="270"/>
      <c r="AB21" s="270"/>
      <c r="AC21" s="270">
        <f>+Z21</f>
        <v>602195.59</v>
      </c>
      <c r="AD21" s="1">
        <f>+AC21*0.8</f>
        <v>481756.47200000001</v>
      </c>
      <c r="AE21" s="1" t="s">
        <v>915</v>
      </c>
    </row>
    <row r="22" spans="1:32">
      <c r="A22" s="269"/>
      <c r="C22" s="270"/>
      <c r="D22" s="270"/>
      <c r="E22" s="670"/>
      <c r="F22" s="670"/>
      <c r="G22" s="670"/>
      <c r="H22" s="670"/>
      <c r="I22" s="670"/>
      <c r="J22" s="670"/>
      <c r="K22" s="577"/>
      <c r="M22" s="270"/>
      <c r="N22" s="270"/>
      <c r="P22" s="270"/>
      <c r="Q22" s="270"/>
      <c r="R22" s="270"/>
      <c r="S22" s="270"/>
      <c r="T22" s="270"/>
      <c r="U22" s="270"/>
      <c r="V22" s="270"/>
      <c r="W22" s="270"/>
      <c r="X22" s="270"/>
      <c r="AA22" s="270"/>
      <c r="AB22" s="270"/>
      <c r="AC22" s="270"/>
      <c r="AD22" s="270"/>
      <c r="AE22" s="270"/>
    </row>
    <row r="23" spans="1:32">
      <c r="A23" s="527"/>
      <c r="C23" s="270"/>
      <c r="D23" s="270"/>
      <c r="E23" s="670"/>
      <c r="F23" s="670"/>
      <c r="G23" s="670"/>
      <c r="H23" s="670"/>
      <c r="I23" s="670"/>
      <c r="J23" s="670"/>
      <c r="K23" s="577"/>
      <c r="M23" s="270"/>
      <c r="N23" s="270"/>
      <c r="P23" s="270"/>
      <c r="Q23" s="270"/>
      <c r="R23" s="270"/>
      <c r="S23" s="270"/>
      <c r="T23" s="270"/>
      <c r="U23" s="270"/>
      <c r="V23" s="270"/>
      <c r="W23" s="270"/>
      <c r="X23" s="270"/>
      <c r="AA23" s="270"/>
      <c r="AB23" s="270"/>
      <c r="AC23" s="270"/>
      <c r="AD23" s="270"/>
      <c r="AE23" s="270"/>
    </row>
    <row r="24" spans="1:32">
      <c r="A24" s="269">
        <v>20</v>
      </c>
      <c r="C24" s="270">
        <v>59198.63</v>
      </c>
      <c r="D24" s="270"/>
      <c r="E24" s="670">
        <v>1792.67</v>
      </c>
      <c r="F24" s="670">
        <v>22.91</v>
      </c>
      <c r="G24" s="670">
        <v>0</v>
      </c>
      <c r="H24" s="670">
        <v>243.62</v>
      </c>
      <c r="I24" s="670">
        <v>56</v>
      </c>
      <c r="J24" s="670">
        <v>0</v>
      </c>
      <c r="K24" s="577">
        <f>SUM(E24:J24)</f>
        <v>2115.2000000000003</v>
      </c>
      <c r="M24" s="270"/>
      <c r="N24" s="270"/>
      <c r="P24" s="270"/>
      <c r="Q24" s="270"/>
      <c r="R24" s="270"/>
      <c r="S24" s="270"/>
      <c r="T24" s="270"/>
      <c r="U24" s="270"/>
      <c r="V24" s="270"/>
      <c r="W24" s="270"/>
      <c r="X24" s="270"/>
      <c r="Y24" s="1">
        <f t="shared" si="1"/>
        <v>2115.2000000000003</v>
      </c>
      <c r="Z24" s="282">
        <f>+C24+N24+Q24+T24+W24</f>
        <v>59198.63</v>
      </c>
      <c r="AA24" s="270"/>
      <c r="AB24" s="270">
        <f t="shared" ref="AB24:AB25" si="6">+Z24</f>
        <v>59198.63</v>
      </c>
      <c r="AC24" s="270"/>
      <c r="AD24" s="270"/>
      <c r="AE24" s="270"/>
      <c r="AF24" s="683"/>
    </row>
    <row r="25" spans="1:32">
      <c r="A25" s="269">
        <v>21</v>
      </c>
      <c r="C25" s="278">
        <v>60264.85</v>
      </c>
      <c r="D25" s="270"/>
      <c r="E25" s="678">
        <v>1876.17</v>
      </c>
      <c r="F25" s="678">
        <v>86.73</v>
      </c>
      <c r="G25" s="678">
        <v>0</v>
      </c>
      <c r="H25" s="678">
        <v>170.36</v>
      </c>
      <c r="I25" s="678">
        <v>56</v>
      </c>
      <c r="J25" s="678">
        <v>0</v>
      </c>
      <c r="K25" s="578">
        <f>SUM(E25:J25)</f>
        <v>2189.2600000000002</v>
      </c>
      <c r="M25" s="270"/>
      <c r="N25" s="270"/>
      <c r="P25" s="270"/>
      <c r="Q25" s="270"/>
      <c r="R25" s="270"/>
      <c r="S25" s="270"/>
      <c r="T25" s="270"/>
      <c r="U25" s="270"/>
      <c r="V25" s="270"/>
      <c r="W25" s="270"/>
      <c r="X25" s="270"/>
      <c r="Y25" s="544">
        <f t="shared" si="1"/>
        <v>2189.2600000000002</v>
      </c>
      <c r="Z25" s="633">
        <f>+C25+N25+Q25+T25+W25</f>
        <v>60264.85</v>
      </c>
      <c r="AA25" s="270"/>
      <c r="AB25" s="270">
        <f t="shared" si="6"/>
        <v>60264.85</v>
      </c>
      <c r="AC25" s="270"/>
      <c r="AD25" s="270"/>
      <c r="AE25" s="270"/>
    </row>
    <row r="26" spans="1:32">
      <c r="A26" s="275" t="s">
        <v>916</v>
      </c>
      <c r="C26" s="684">
        <f>SUM(C24:C25)</f>
        <v>119463.48</v>
      </c>
      <c r="E26" s="685">
        <f t="shared" ref="E26:K26" si="7">SUM(E24:E25)</f>
        <v>3668.84</v>
      </c>
      <c r="F26" s="685">
        <f t="shared" si="7"/>
        <v>109.64</v>
      </c>
      <c r="G26" s="685">
        <f t="shared" si="7"/>
        <v>0</v>
      </c>
      <c r="H26" s="685">
        <f t="shared" si="7"/>
        <v>413.98</v>
      </c>
      <c r="I26" s="685">
        <f t="shared" si="7"/>
        <v>112</v>
      </c>
      <c r="J26" s="685">
        <f t="shared" si="7"/>
        <v>0</v>
      </c>
      <c r="K26" s="686">
        <f t="shared" si="7"/>
        <v>4304.4600000000009</v>
      </c>
      <c r="Y26" s="684">
        <f>SUM(Y24:Y25)</f>
        <v>4304.4600000000009</v>
      </c>
      <c r="Z26" s="687">
        <f>SUM(Z24:Z25)</f>
        <v>119463.48</v>
      </c>
      <c r="AC26" s="1">
        <f>+Z26</f>
        <v>119463.48</v>
      </c>
      <c r="AD26" s="1">
        <f>+AC26*'WP-11 - Non-Regulated'!K40</f>
        <v>66173.328181492849</v>
      </c>
      <c r="AE26" s="1" t="s">
        <v>913</v>
      </c>
    </row>
    <row r="27" spans="1:32">
      <c r="E27" s="670"/>
      <c r="F27" s="670"/>
      <c r="G27" s="670"/>
      <c r="H27" s="670"/>
      <c r="I27" s="670"/>
      <c r="J27" s="670"/>
      <c r="K27" s="577"/>
    </row>
    <row r="28" spans="1:32">
      <c r="A28" s="269">
        <v>30</v>
      </c>
      <c r="C28" s="270">
        <v>71266.28</v>
      </c>
      <c r="D28" s="270"/>
      <c r="E28" s="670">
        <v>2008.39</v>
      </c>
      <c r="F28" s="670">
        <v>235.84</v>
      </c>
      <c r="G28" s="670">
        <v>0</v>
      </c>
      <c r="H28" s="670">
        <v>72</v>
      </c>
      <c r="I28" s="670">
        <v>56</v>
      </c>
      <c r="J28" s="670">
        <v>0</v>
      </c>
      <c r="K28" s="577">
        <f>SUM(E28:J28)</f>
        <v>2372.23</v>
      </c>
      <c r="M28" s="270"/>
      <c r="N28" s="270"/>
      <c r="P28" s="270"/>
      <c r="Q28" s="270"/>
      <c r="R28" s="270"/>
      <c r="S28" s="270"/>
      <c r="T28" s="270"/>
      <c r="U28" s="270"/>
      <c r="V28" s="270"/>
      <c r="W28" s="270"/>
      <c r="X28" s="270"/>
      <c r="Y28" s="1">
        <f>K28+M28+P28+S28+V28</f>
        <v>2372.23</v>
      </c>
      <c r="Z28" s="282">
        <f>+C28+N28+Q28+T28+W28</f>
        <v>71266.28</v>
      </c>
      <c r="AA28" s="270"/>
      <c r="AB28" s="270">
        <f t="shared" ref="AB28:AB53" si="8">+Z28</f>
        <v>71266.28</v>
      </c>
      <c r="AC28" s="270"/>
      <c r="AD28" s="270"/>
      <c r="AE28" s="270"/>
    </row>
    <row r="29" spans="1:32">
      <c r="A29" s="269">
        <v>31</v>
      </c>
      <c r="C29" s="270">
        <v>66577.350000000006</v>
      </c>
      <c r="D29" s="270"/>
      <c r="E29" s="670">
        <v>1920.45</v>
      </c>
      <c r="F29" s="670">
        <v>128.04</v>
      </c>
      <c r="G29" s="670">
        <v>0</v>
      </c>
      <c r="H29" s="670">
        <v>233.37</v>
      </c>
      <c r="I29" s="670">
        <v>56</v>
      </c>
      <c r="J29" s="670">
        <v>0</v>
      </c>
      <c r="K29" s="577">
        <f t="shared" ref="K29:K51" si="9">SUM(E29:J29)</f>
        <v>2337.86</v>
      </c>
      <c r="M29" s="270"/>
      <c r="N29" s="270"/>
      <c r="P29" s="270"/>
      <c r="Q29" s="270"/>
      <c r="R29" s="270"/>
      <c r="S29" s="270"/>
      <c r="T29" s="270"/>
      <c r="U29" s="270"/>
      <c r="V29" s="270"/>
      <c r="W29" s="270"/>
      <c r="X29" s="270"/>
      <c r="Y29" s="1">
        <f t="shared" ref="Y29:Y53" si="10">K29+M29+P29+S29+V29</f>
        <v>2337.86</v>
      </c>
      <c r="Z29" s="282">
        <f t="shared" ref="Z29:Z53" si="11">+C29+N29+Q29+T29+W29</f>
        <v>66577.350000000006</v>
      </c>
      <c r="AA29" s="270"/>
      <c r="AB29" s="270">
        <f t="shared" si="8"/>
        <v>66577.350000000006</v>
      </c>
      <c r="AC29" s="270"/>
      <c r="AD29" s="270"/>
      <c r="AE29" s="270"/>
    </row>
    <row r="30" spans="1:32">
      <c r="A30" s="269">
        <v>32</v>
      </c>
      <c r="C30" s="270">
        <v>77389.100000000006</v>
      </c>
      <c r="D30" s="270"/>
      <c r="E30" s="670">
        <v>2001.13</v>
      </c>
      <c r="F30" s="670">
        <v>58.82</v>
      </c>
      <c r="G30" s="670">
        <v>0</v>
      </c>
      <c r="H30" s="670">
        <v>39.9</v>
      </c>
      <c r="I30" s="670">
        <v>56</v>
      </c>
      <c r="J30" s="670">
        <v>0</v>
      </c>
      <c r="K30" s="577">
        <f t="shared" si="9"/>
        <v>2155.8500000000004</v>
      </c>
      <c r="M30" s="270"/>
      <c r="N30" s="270"/>
      <c r="P30" s="270"/>
      <c r="Q30" s="270"/>
      <c r="R30" s="270"/>
      <c r="S30" s="270"/>
      <c r="T30" s="270"/>
      <c r="U30" s="270"/>
      <c r="V30" s="270"/>
      <c r="W30" s="270"/>
      <c r="X30" s="270"/>
      <c r="Y30" s="1">
        <f t="shared" si="10"/>
        <v>2155.8500000000004</v>
      </c>
      <c r="Z30" s="282">
        <f>+C30+N30+Q30+T30+W30</f>
        <v>77389.100000000006</v>
      </c>
      <c r="AA30" s="270"/>
      <c r="AB30" s="270">
        <f t="shared" si="8"/>
        <v>77389.100000000006</v>
      </c>
      <c r="AC30" s="270"/>
      <c r="AD30" s="270"/>
      <c r="AE30" s="270"/>
    </row>
    <row r="31" spans="1:32">
      <c r="A31" s="269">
        <v>33</v>
      </c>
      <c r="C31" s="270">
        <v>91179.4</v>
      </c>
      <c r="D31" s="270"/>
      <c r="E31" s="670">
        <v>1908.57</v>
      </c>
      <c r="F31" s="670">
        <v>196.52</v>
      </c>
      <c r="G31" s="670">
        <v>0</v>
      </c>
      <c r="H31" s="670">
        <v>176.73</v>
      </c>
      <c r="I31" s="670">
        <v>26</v>
      </c>
      <c r="J31" s="670">
        <v>0</v>
      </c>
      <c r="K31" s="577">
        <f t="shared" si="9"/>
        <v>2307.8200000000002</v>
      </c>
      <c r="M31" s="270"/>
      <c r="N31" s="270"/>
      <c r="P31" s="270"/>
      <c r="Q31" s="270"/>
      <c r="R31" s="270"/>
      <c r="S31" s="270"/>
      <c r="T31" s="270"/>
      <c r="U31" s="270"/>
      <c r="V31" s="270"/>
      <c r="W31" s="270"/>
      <c r="X31" s="270"/>
      <c r="Y31" s="1">
        <f t="shared" si="10"/>
        <v>2307.8200000000002</v>
      </c>
      <c r="Z31" s="282">
        <f t="shared" si="11"/>
        <v>91179.4</v>
      </c>
      <c r="AA31" s="270"/>
      <c r="AB31" s="270">
        <f t="shared" si="8"/>
        <v>91179.4</v>
      </c>
      <c r="AC31" s="270"/>
      <c r="AD31" s="270"/>
      <c r="AE31" s="270"/>
    </row>
    <row r="32" spans="1:32">
      <c r="A32" s="269">
        <v>34</v>
      </c>
      <c r="C32" s="270">
        <v>86354.84</v>
      </c>
      <c r="D32" s="270"/>
      <c r="E32" s="670">
        <v>1982.62</v>
      </c>
      <c r="F32" s="670">
        <v>180.12</v>
      </c>
      <c r="G32" s="670">
        <v>0</v>
      </c>
      <c r="H32" s="670">
        <v>106.56</v>
      </c>
      <c r="I32" s="670">
        <v>56</v>
      </c>
      <c r="J32" s="670">
        <v>0</v>
      </c>
      <c r="K32" s="577">
        <f t="shared" si="9"/>
        <v>2325.2999999999997</v>
      </c>
      <c r="M32" s="270"/>
      <c r="N32" s="270"/>
      <c r="P32" s="270"/>
      <c r="Q32" s="270"/>
      <c r="R32" s="270"/>
      <c r="S32" s="270"/>
      <c r="T32" s="270"/>
      <c r="U32" s="270"/>
      <c r="V32" s="270"/>
      <c r="W32" s="270"/>
      <c r="X32" s="270"/>
      <c r="Y32" s="1">
        <f t="shared" si="10"/>
        <v>2325.2999999999997</v>
      </c>
      <c r="Z32" s="282">
        <f t="shared" si="11"/>
        <v>86354.84</v>
      </c>
      <c r="AA32" s="270"/>
      <c r="AB32" s="270">
        <f t="shared" si="8"/>
        <v>86354.84</v>
      </c>
      <c r="AC32" s="270"/>
      <c r="AD32" s="270"/>
      <c r="AE32" s="270"/>
    </row>
    <row r="33" spans="1:31">
      <c r="A33" s="269">
        <v>35</v>
      </c>
      <c r="C33" s="270">
        <v>80688.990000000005</v>
      </c>
      <c r="D33" s="270"/>
      <c r="E33" s="670">
        <v>1947.03</v>
      </c>
      <c r="F33" s="670">
        <v>134.53</v>
      </c>
      <c r="G33" s="670">
        <v>0</v>
      </c>
      <c r="H33" s="670">
        <v>136.41999999999999</v>
      </c>
      <c r="I33" s="670">
        <v>56</v>
      </c>
      <c r="J33" s="670">
        <v>0</v>
      </c>
      <c r="K33" s="577">
        <f t="shared" si="9"/>
        <v>2273.98</v>
      </c>
      <c r="M33" s="270"/>
      <c r="N33" s="270"/>
      <c r="P33" s="270"/>
      <c r="Q33" s="270"/>
      <c r="R33" s="270"/>
      <c r="S33" s="270"/>
      <c r="T33" s="270"/>
      <c r="U33" s="270"/>
      <c r="V33" s="270"/>
      <c r="W33" s="270"/>
      <c r="X33" s="270"/>
      <c r="Y33" s="1">
        <f t="shared" si="10"/>
        <v>2273.98</v>
      </c>
      <c r="Z33" s="282">
        <f t="shared" si="11"/>
        <v>80688.990000000005</v>
      </c>
      <c r="AA33" s="270"/>
      <c r="AB33" s="270">
        <f t="shared" si="8"/>
        <v>80688.990000000005</v>
      </c>
      <c r="AC33"/>
      <c r="AD33" s="270"/>
      <c r="AE33" s="270"/>
    </row>
    <row r="34" spans="1:31">
      <c r="A34" s="269">
        <v>36</v>
      </c>
      <c r="C34" s="270">
        <v>80740.100000000006</v>
      </c>
      <c r="D34" s="270"/>
      <c r="E34" s="670">
        <v>1901.07</v>
      </c>
      <c r="F34" s="670">
        <v>590.66</v>
      </c>
      <c r="G34" s="670">
        <v>0</v>
      </c>
      <c r="H34" s="670">
        <v>150.94</v>
      </c>
      <c r="I34" s="670">
        <v>56</v>
      </c>
      <c r="J34" s="670">
        <v>0</v>
      </c>
      <c r="K34" s="577">
        <f t="shared" si="9"/>
        <v>2698.67</v>
      </c>
      <c r="M34" s="270"/>
      <c r="N34" s="270"/>
      <c r="P34" s="270"/>
      <c r="Q34" s="270"/>
      <c r="R34" s="270"/>
      <c r="S34" s="270"/>
      <c r="T34" s="270"/>
      <c r="U34" s="270"/>
      <c r="V34" s="270"/>
      <c r="W34" s="270"/>
      <c r="X34" s="270"/>
      <c r="Y34" s="1">
        <f t="shared" si="10"/>
        <v>2698.67</v>
      </c>
      <c r="Z34" s="282">
        <f t="shared" si="11"/>
        <v>80740.100000000006</v>
      </c>
      <c r="AA34" s="270"/>
      <c r="AB34" s="270">
        <f t="shared" si="8"/>
        <v>80740.100000000006</v>
      </c>
      <c r="AC34" s="270"/>
      <c r="AD34" s="270"/>
      <c r="AE34" s="270"/>
    </row>
    <row r="35" spans="1:31">
      <c r="A35" s="269">
        <v>37</v>
      </c>
      <c r="C35" s="270">
        <v>64231.73</v>
      </c>
      <c r="D35" s="270"/>
      <c r="E35" s="670">
        <v>1964.59</v>
      </c>
      <c r="F35" s="670">
        <v>178.34</v>
      </c>
      <c r="G35" s="670">
        <v>0</v>
      </c>
      <c r="H35" s="670">
        <v>119.43</v>
      </c>
      <c r="I35" s="670">
        <v>56</v>
      </c>
      <c r="J35" s="670">
        <v>0</v>
      </c>
      <c r="K35" s="577">
        <f t="shared" si="9"/>
        <v>2318.3599999999997</v>
      </c>
      <c r="M35" s="270"/>
      <c r="N35" s="270"/>
      <c r="P35" s="270"/>
      <c r="Q35" s="270"/>
      <c r="R35" s="270"/>
      <c r="S35" s="270"/>
      <c r="T35" s="270"/>
      <c r="U35" s="270"/>
      <c r="V35" s="270"/>
      <c r="W35" s="270"/>
      <c r="X35" s="270"/>
      <c r="Y35" s="1">
        <f t="shared" si="10"/>
        <v>2318.3599999999997</v>
      </c>
      <c r="Z35" s="282">
        <f t="shared" si="11"/>
        <v>64231.73</v>
      </c>
      <c r="AA35" s="270"/>
      <c r="AB35" s="270">
        <f t="shared" si="8"/>
        <v>64231.73</v>
      </c>
      <c r="AC35" s="270"/>
      <c r="AD35" s="270"/>
      <c r="AE35" s="270"/>
    </row>
    <row r="36" spans="1:31">
      <c r="A36" s="269">
        <v>38</v>
      </c>
      <c r="C36" s="270">
        <v>33667.35</v>
      </c>
      <c r="D36" s="270"/>
      <c r="E36" s="670">
        <v>1342.08</v>
      </c>
      <c r="F36" s="670">
        <v>37.46</v>
      </c>
      <c r="G36" s="670">
        <v>0</v>
      </c>
      <c r="H36" s="670">
        <v>66.88</v>
      </c>
      <c r="I36" s="670">
        <v>48</v>
      </c>
      <c r="J36" s="670">
        <v>0</v>
      </c>
      <c r="K36" s="577">
        <f t="shared" si="9"/>
        <v>1494.42</v>
      </c>
      <c r="M36" s="270"/>
      <c r="N36" s="270"/>
      <c r="P36" s="270"/>
      <c r="Q36" s="270"/>
      <c r="R36" s="270"/>
      <c r="S36" s="270"/>
      <c r="T36" s="270"/>
      <c r="U36" s="270"/>
      <c r="V36" s="270"/>
      <c r="W36" s="270"/>
      <c r="X36" s="270"/>
      <c r="Y36" s="1">
        <f t="shared" si="10"/>
        <v>1494.42</v>
      </c>
      <c r="Z36" s="282">
        <f t="shared" si="11"/>
        <v>33667.35</v>
      </c>
      <c r="AA36" s="270"/>
      <c r="AB36" s="270">
        <f t="shared" si="8"/>
        <v>33667.35</v>
      </c>
      <c r="AC36" s="270"/>
      <c r="AD36" s="270"/>
      <c r="AE36" s="270"/>
    </row>
    <row r="37" spans="1:31">
      <c r="A37" s="269">
        <v>39</v>
      </c>
      <c r="C37" s="270">
        <v>69855.570000000007</v>
      </c>
      <c r="D37" s="270"/>
      <c r="E37" s="670">
        <v>1852.77</v>
      </c>
      <c r="F37" s="670">
        <v>134.91999999999999</v>
      </c>
      <c r="G37" s="670">
        <v>0</v>
      </c>
      <c r="H37" s="670">
        <v>201.8</v>
      </c>
      <c r="I37" s="670">
        <v>56</v>
      </c>
      <c r="J37" s="670">
        <v>0</v>
      </c>
      <c r="K37" s="577">
        <f t="shared" si="9"/>
        <v>2245.4900000000002</v>
      </c>
      <c r="M37" s="270"/>
      <c r="N37" s="270"/>
      <c r="P37" s="270"/>
      <c r="Q37" s="270"/>
      <c r="R37" s="270"/>
      <c r="S37" s="270"/>
      <c r="T37" s="270"/>
      <c r="U37" s="270"/>
      <c r="V37" s="270"/>
      <c r="W37" s="270"/>
      <c r="X37" s="270"/>
      <c r="Y37" s="1">
        <f t="shared" si="10"/>
        <v>2245.4900000000002</v>
      </c>
      <c r="Z37" s="282">
        <f t="shared" si="11"/>
        <v>69855.570000000007</v>
      </c>
      <c r="AA37" s="270"/>
      <c r="AB37" s="270">
        <f t="shared" si="8"/>
        <v>69855.570000000007</v>
      </c>
      <c r="AC37" s="270"/>
      <c r="AD37" s="270"/>
      <c r="AE37" s="270"/>
    </row>
    <row r="38" spans="1:31">
      <c r="A38" s="269">
        <v>40</v>
      </c>
      <c r="C38" s="270">
        <v>53335.68</v>
      </c>
      <c r="D38" s="270"/>
      <c r="E38" s="670">
        <v>1941.04</v>
      </c>
      <c r="F38" s="670">
        <v>139.49</v>
      </c>
      <c r="G38" s="670">
        <v>0</v>
      </c>
      <c r="H38" s="670">
        <v>131.01</v>
      </c>
      <c r="I38" s="670">
        <v>56</v>
      </c>
      <c r="J38" s="670">
        <v>0</v>
      </c>
      <c r="K38" s="577">
        <f t="shared" si="9"/>
        <v>2267.54</v>
      </c>
      <c r="M38" s="270"/>
      <c r="N38" s="270"/>
      <c r="P38" s="270"/>
      <c r="Q38" s="270"/>
      <c r="R38" s="270"/>
      <c r="S38" s="270"/>
      <c r="T38" s="270"/>
      <c r="U38" s="270"/>
      <c r="V38" s="270"/>
      <c r="W38" s="270"/>
      <c r="X38" s="270"/>
      <c r="Y38" s="1">
        <f t="shared" si="10"/>
        <v>2267.54</v>
      </c>
      <c r="Z38" s="282">
        <f t="shared" si="11"/>
        <v>53335.68</v>
      </c>
      <c r="AA38" s="270"/>
      <c r="AB38" s="270">
        <f t="shared" si="8"/>
        <v>53335.68</v>
      </c>
      <c r="AC38" s="270"/>
      <c r="AD38" s="270"/>
      <c r="AE38" s="270"/>
    </row>
    <row r="39" spans="1:31">
      <c r="A39" s="269">
        <v>41</v>
      </c>
      <c r="C39" s="270">
        <v>67994.78</v>
      </c>
      <c r="D39" s="270"/>
      <c r="E39" s="670">
        <v>1952.66</v>
      </c>
      <c r="F39" s="670">
        <v>110.33</v>
      </c>
      <c r="G39" s="670">
        <v>0</v>
      </c>
      <c r="H39" s="670">
        <v>125.56</v>
      </c>
      <c r="I39" s="670">
        <v>56</v>
      </c>
      <c r="J39" s="670">
        <v>0</v>
      </c>
      <c r="K39" s="577">
        <f t="shared" si="9"/>
        <v>2244.5500000000002</v>
      </c>
      <c r="M39" s="270"/>
      <c r="N39" s="270"/>
      <c r="P39" s="270"/>
      <c r="Q39" s="270"/>
      <c r="R39" s="270"/>
      <c r="S39" s="270"/>
      <c r="T39" s="270"/>
      <c r="U39" s="270"/>
      <c r="V39" s="270"/>
      <c r="W39" s="270"/>
      <c r="X39" s="270"/>
      <c r="Y39" s="1">
        <f t="shared" si="10"/>
        <v>2244.5500000000002</v>
      </c>
      <c r="Z39" s="282">
        <f t="shared" si="11"/>
        <v>67994.78</v>
      </c>
      <c r="AA39" s="270"/>
      <c r="AB39" s="270">
        <f t="shared" si="8"/>
        <v>67994.78</v>
      </c>
      <c r="AC39" s="270"/>
      <c r="AD39" s="270"/>
      <c r="AE39" s="270"/>
    </row>
    <row r="40" spans="1:31">
      <c r="A40" s="269">
        <v>42</v>
      </c>
      <c r="C40" s="270">
        <v>27951.62</v>
      </c>
      <c r="D40" s="270"/>
      <c r="E40" s="670">
        <v>918.95</v>
      </c>
      <c r="F40" s="670">
        <v>44.48</v>
      </c>
      <c r="G40" s="670">
        <v>0</v>
      </c>
      <c r="H40" s="670">
        <v>148.37</v>
      </c>
      <c r="I40" s="670">
        <v>16</v>
      </c>
      <c r="J40" s="670">
        <v>0</v>
      </c>
      <c r="K40" s="577">
        <f t="shared" si="9"/>
        <v>1127.8000000000002</v>
      </c>
      <c r="M40" s="270"/>
      <c r="N40" s="270"/>
      <c r="P40" s="270"/>
      <c r="Q40" s="270"/>
      <c r="R40" s="270"/>
      <c r="S40" s="270"/>
      <c r="T40" s="270"/>
      <c r="U40" s="270"/>
      <c r="V40" s="270"/>
      <c r="W40" s="270"/>
      <c r="X40" s="270"/>
      <c r="Y40" s="1">
        <f t="shared" si="10"/>
        <v>1127.8000000000002</v>
      </c>
      <c r="Z40" s="282">
        <f t="shared" si="11"/>
        <v>27951.62</v>
      </c>
      <c r="AA40" s="270"/>
      <c r="AB40" s="270">
        <f t="shared" si="8"/>
        <v>27951.62</v>
      </c>
      <c r="AC40" s="270"/>
      <c r="AD40" s="270"/>
      <c r="AE40" s="270"/>
    </row>
    <row r="41" spans="1:31">
      <c r="A41" s="269">
        <v>43</v>
      </c>
      <c r="C41" s="270">
        <v>56687.26</v>
      </c>
      <c r="D41" s="270"/>
      <c r="E41" s="670">
        <v>1932.99</v>
      </c>
      <c r="F41" s="670">
        <v>77.459999999999994</v>
      </c>
      <c r="G41" s="670">
        <v>0</v>
      </c>
      <c r="H41" s="670">
        <v>107.73</v>
      </c>
      <c r="I41" s="670">
        <v>56</v>
      </c>
      <c r="J41" s="670">
        <v>0</v>
      </c>
      <c r="K41" s="577">
        <f>SUM(E41:J41)</f>
        <v>2174.1799999999998</v>
      </c>
      <c r="M41" s="270"/>
      <c r="N41" s="270"/>
      <c r="P41" s="270"/>
      <c r="Q41" s="270"/>
      <c r="R41" s="270"/>
      <c r="S41" s="270"/>
      <c r="T41" s="270"/>
      <c r="U41" s="270"/>
      <c r="V41" s="270"/>
      <c r="W41" s="270"/>
      <c r="X41" s="270"/>
      <c r="Y41" s="1">
        <f t="shared" ref="Y41:Y42" si="12">K41+M41+P41+S41+V41</f>
        <v>2174.1799999999998</v>
      </c>
      <c r="Z41" s="282">
        <f t="shared" ref="Z41:Z42" si="13">+C41+N41+Q41+T41+W41</f>
        <v>56687.26</v>
      </c>
      <c r="AA41" s="270"/>
      <c r="AB41" s="270">
        <f t="shared" si="8"/>
        <v>56687.26</v>
      </c>
      <c r="AC41" s="270"/>
      <c r="AD41" s="270"/>
      <c r="AE41" s="270"/>
    </row>
    <row r="42" spans="1:31">
      <c r="A42" s="269">
        <v>44</v>
      </c>
      <c r="C42" s="270">
        <v>82422.259999999995</v>
      </c>
      <c r="D42" s="270"/>
      <c r="E42" s="670">
        <v>2001.69</v>
      </c>
      <c r="F42" s="670">
        <v>144.80000000000001</v>
      </c>
      <c r="G42" s="670">
        <v>0</v>
      </c>
      <c r="H42" s="670">
        <v>112.62</v>
      </c>
      <c r="I42" s="670">
        <v>56</v>
      </c>
      <c r="J42" s="670">
        <v>0</v>
      </c>
      <c r="K42" s="577">
        <f>SUM(E42:J42)</f>
        <v>2315.11</v>
      </c>
      <c r="M42" s="270"/>
      <c r="N42" s="270"/>
      <c r="P42" s="270"/>
      <c r="Q42" s="270"/>
      <c r="R42" s="270"/>
      <c r="S42" s="270"/>
      <c r="T42" s="270"/>
      <c r="U42" s="270"/>
      <c r="V42" s="270"/>
      <c r="W42" s="270"/>
      <c r="X42" s="270"/>
      <c r="Y42" s="1">
        <f t="shared" si="12"/>
        <v>2315.11</v>
      </c>
      <c r="Z42" s="282">
        <f t="shared" si="13"/>
        <v>82422.259999999995</v>
      </c>
      <c r="AA42" s="270"/>
      <c r="AB42" s="270">
        <f t="shared" si="8"/>
        <v>82422.259999999995</v>
      </c>
      <c r="AC42" s="270"/>
      <c r="AD42" s="270"/>
      <c r="AE42" s="270"/>
    </row>
    <row r="43" spans="1:31">
      <c r="A43" s="269">
        <v>45</v>
      </c>
      <c r="C43" s="270">
        <v>60784.05</v>
      </c>
      <c r="D43" s="270"/>
      <c r="E43" s="670">
        <v>1912.06</v>
      </c>
      <c r="F43" s="670">
        <v>109.28</v>
      </c>
      <c r="G43" s="670">
        <v>0</v>
      </c>
      <c r="H43" s="670">
        <v>111.26</v>
      </c>
      <c r="I43" s="670">
        <v>56</v>
      </c>
      <c r="J43" s="670">
        <v>0</v>
      </c>
      <c r="K43" s="577">
        <f t="shared" si="9"/>
        <v>2188.6</v>
      </c>
      <c r="M43" s="270"/>
      <c r="N43" s="270"/>
      <c r="P43" s="270"/>
      <c r="Q43" s="270"/>
      <c r="R43" s="270"/>
      <c r="S43" s="270"/>
      <c r="T43" s="270"/>
      <c r="U43" s="270"/>
      <c r="V43" s="270"/>
      <c r="W43" s="270"/>
      <c r="X43" s="270"/>
      <c r="Y43" s="1">
        <f t="shared" si="10"/>
        <v>2188.6</v>
      </c>
      <c r="Z43" s="282">
        <f t="shared" si="11"/>
        <v>60784.05</v>
      </c>
      <c r="AA43" s="270"/>
      <c r="AB43" s="270">
        <f t="shared" si="8"/>
        <v>60784.05</v>
      </c>
      <c r="AC43" s="270"/>
      <c r="AD43" s="270"/>
      <c r="AE43" s="270"/>
    </row>
    <row r="44" spans="1:31">
      <c r="A44" s="269">
        <v>46</v>
      </c>
      <c r="C44" s="270">
        <v>77777.25</v>
      </c>
      <c r="D44" s="270"/>
      <c r="E44" s="670">
        <v>1847.03</v>
      </c>
      <c r="F44" s="670">
        <v>75.61</v>
      </c>
      <c r="G44" s="670">
        <v>0</v>
      </c>
      <c r="H44" s="670">
        <v>198.6</v>
      </c>
      <c r="I44" s="670">
        <v>56</v>
      </c>
      <c r="J44" s="670">
        <v>0</v>
      </c>
      <c r="K44" s="577">
        <f t="shared" ref="K44:K50" si="14">SUM(E44:J44)</f>
        <v>2177.2399999999998</v>
      </c>
      <c r="M44" s="270"/>
      <c r="N44" s="270"/>
      <c r="P44" s="270"/>
      <c r="Q44" s="270"/>
      <c r="R44" s="270"/>
      <c r="S44" s="270"/>
      <c r="T44" s="270"/>
      <c r="U44" s="270"/>
      <c r="V44" s="270"/>
      <c r="W44" s="270"/>
      <c r="X44" s="270"/>
      <c r="Y44" s="1">
        <f t="shared" ref="Y44:Y50" si="15">K44+M44+P44+S44+V44</f>
        <v>2177.2399999999998</v>
      </c>
      <c r="Z44" s="282">
        <f t="shared" ref="Z44:Z50" si="16">+C44+N44+Q44+T44+W44</f>
        <v>77777.25</v>
      </c>
      <c r="AA44" s="270"/>
      <c r="AB44" s="270">
        <f t="shared" si="8"/>
        <v>77777.25</v>
      </c>
      <c r="AC44" s="270"/>
      <c r="AD44" s="270"/>
      <c r="AE44" s="270"/>
    </row>
    <row r="45" spans="1:31">
      <c r="A45" s="269">
        <v>47</v>
      </c>
      <c r="C45" s="270">
        <v>30410.92</v>
      </c>
      <c r="D45" s="270"/>
      <c r="E45" s="670">
        <v>1078.1199999999999</v>
      </c>
      <c r="F45" s="670">
        <v>209.48</v>
      </c>
      <c r="G45" s="670">
        <v>0</v>
      </c>
      <c r="H45" s="670">
        <v>4.75</v>
      </c>
      <c r="I45" s="670">
        <v>32</v>
      </c>
      <c r="J45" s="670">
        <v>0</v>
      </c>
      <c r="K45" s="577">
        <f>SUM(E45:J45)</f>
        <v>1324.35</v>
      </c>
      <c r="M45" s="270"/>
      <c r="N45" s="270"/>
      <c r="P45" s="270"/>
      <c r="Q45" s="270"/>
      <c r="R45" s="270"/>
      <c r="S45" s="270"/>
      <c r="T45" s="270"/>
      <c r="U45" s="270"/>
      <c r="V45" s="270"/>
      <c r="W45" s="270"/>
      <c r="X45" s="270"/>
      <c r="Y45" s="1">
        <f>K45+M45+P45+S45+V45</f>
        <v>1324.35</v>
      </c>
      <c r="Z45" s="282">
        <f>+C45+N45+Q45+T45+W45</f>
        <v>30410.92</v>
      </c>
      <c r="AA45" s="270"/>
      <c r="AB45" s="270">
        <f>+Z45</f>
        <v>30410.92</v>
      </c>
      <c r="AC45" s="283"/>
      <c r="AD45" s="270"/>
      <c r="AE45" s="270"/>
    </row>
    <row r="46" spans="1:31">
      <c r="A46" s="269">
        <v>48</v>
      </c>
      <c r="C46" s="270">
        <v>64329.13</v>
      </c>
      <c r="D46" s="270"/>
      <c r="E46" s="670">
        <v>1908.85</v>
      </c>
      <c r="F46" s="670">
        <v>51.7</v>
      </c>
      <c r="G46" s="670">
        <v>0</v>
      </c>
      <c r="H46" s="670">
        <v>195.12</v>
      </c>
      <c r="I46" s="670">
        <v>56</v>
      </c>
      <c r="J46" s="670">
        <v>0</v>
      </c>
      <c r="K46" s="577">
        <f t="shared" si="14"/>
        <v>2211.67</v>
      </c>
      <c r="M46" s="270"/>
      <c r="N46" s="270"/>
      <c r="P46" s="270"/>
      <c r="Q46" s="270"/>
      <c r="R46" s="270"/>
      <c r="S46" s="270"/>
      <c r="T46" s="270"/>
      <c r="U46" s="270"/>
      <c r="V46" s="270"/>
      <c r="W46" s="270"/>
      <c r="X46" s="270"/>
      <c r="Y46" s="1">
        <f t="shared" si="15"/>
        <v>2211.67</v>
      </c>
      <c r="Z46" s="282">
        <f t="shared" si="16"/>
        <v>64329.13</v>
      </c>
      <c r="AA46" s="270"/>
      <c r="AB46" s="270">
        <f t="shared" si="8"/>
        <v>64329.13</v>
      </c>
      <c r="AC46" s="270"/>
      <c r="AD46" s="270"/>
      <c r="AE46" s="270"/>
    </row>
    <row r="47" spans="1:31">
      <c r="A47" s="269">
        <v>49</v>
      </c>
      <c r="C47" s="270">
        <v>16299.13</v>
      </c>
      <c r="D47" s="270"/>
      <c r="E47" s="670">
        <v>598.5</v>
      </c>
      <c r="F47" s="670">
        <v>106.75</v>
      </c>
      <c r="G47" s="670">
        <v>0</v>
      </c>
      <c r="H47" s="670">
        <v>0</v>
      </c>
      <c r="I47" s="670">
        <v>8</v>
      </c>
      <c r="J47" s="670">
        <v>0</v>
      </c>
      <c r="K47" s="577">
        <f>SUM(E47:J47)</f>
        <v>713.25</v>
      </c>
      <c r="M47" s="270"/>
      <c r="N47" s="270"/>
      <c r="P47" s="270"/>
      <c r="Q47" s="270"/>
      <c r="R47" s="270"/>
      <c r="S47" s="270"/>
      <c r="T47" s="270"/>
      <c r="U47" s="270"/>
      <c r="V47" s="270"/>
      <c r="W47" s="270"/>
      <c r="X47" s="270"/>
      <c r="Y47" s="1">
        <f>K47+M47+P47+S47+V47</f>
        <v>713.25</v>
      </c>
      <c r="Z47" s="282">
        <f>+C47+N47+Q47+T47+W47</f>
        <v>16299.13</v>
      </c>
      <c r="AA47" s="270"/>
      <c r="AB47" s="270">
        <f>+Z47</f>
        <v>16299.13</v>
      </c>
      <c r="AC47" s="283"/>
      <c r="AD47" s="270"/>
      <c r="AE47" s="270"/>
    </row>
    <row r="48" spans="1:31">
      <c r="A48" s="269">
        <v>50</v>
      </c>
      <c r="C48" s="270">
        <v>33794.29</v>
      </c>
      <c r="D48" s="270"/>
      <c r="E48" s="670">
        <v>854.13</v>
      </c>
      <c r="F48" s="670">
        <v>7.04</v>
      </c>
      <c r="G48" s="670">
        <v>0</v>
      </c>
      <c r="H48" s="670">
        <v>242.68</v>
      </c>
      <c r="I48" s="670">
        <v>48</v>
      </c>
      <c r="J48" s="670">
        <v>0</v>
      </c>
      <c r="K48" s="577">
        <f t="shared" si="14"/>
        <v>1151.8499999999999</v>
      </c>
      <c r="M48" s="270"/>
      <c r="N48" s="270"/>
      <c r="P48" s="270"/>
      <c r="Q48" s="270"/>
      <c r="R48" s="270"/>
      <c r="S48" s="270"/>
      <c r="T48" s="270"/>
      <c r="U48" s="270"/>
      <c r="V48" s="270"/>
      <c r="W48" s="270"/>
      <c r="X48" s="270"/>
      <c r="Y48" s="1">
        <f t="shared" si="15"/>
        <v>1151.8499999999999</v>
      </c>
      <c r="Z48" s="282">
        <f t="shared" si="16"/>
        <v>33794.29</v>
      </c>
      <c r="AA48" s="270"/>
      <c r="AB48" s="270">
        <f t="shared" si="8"/>
        <v>33794.29</v>
      </c>
      <c r="AC48" s="270"/>
      <c r="AD48" s="270"/>
      <c r="AE48" s="270"/>
    </row>
    <row r="49" spans="1:31">
      <c r="A49" s="269">
        <v>51</v>
      </c>
      <c r="C49" s="270">
        <v>65512.08</v>
      </c>
      <c r="D49" s="270"/>
      <c r="E49" s="670">
        <v>2005.2</v>
      </c>
      <c r="F49" s="670">
        <v>188.79</v>
      </c>
      <c r="G49" s="670">
        <v>0</v>
      </c>
      <c r="H49" s="670">
        <v>75.61</v>
      </c>
      <c r="I49" s="670">
        <v>56</v>
      </c>
      <c r="J49" s="670">
        <v>0</v>
      </c>
      <c r="K49" s="577">
        <f t="shared" si="14"/>
        <v>2325.6000000000004</v>
      </c>
      <c r="M49" s="270"/>
      <c r="N49" s="270"/>
      <c r="P49" s="270"/>
      <c r="Q49" s="270"/>
      <c r="R49" s="270"/>
      <c r="S49" s="270"/>
      <c r="T49" s="270"/>
      <c r="U49" s="270"/>
      <c r="V49" s="270"/>
      <c r="W49" s="270"/>
      <c r="X49" s="270"/>
      <c r="Y49" s="1">
        <f t="shared" si="15"/>
        <v>2325.6000000000004</v>
      </c>
      <c r="Z49" s="282">
        <f t="shared" si="16"/>
        <v>65512.08</v>
      </c>
      <c r="AA49" s="270"/>
      <c r="AB49" s="270">
        <f t="shared" si="8"/>
        <v>65512.08</v>
      </c>
      <c r="AC49" s="270"/>
      <c r="AD49" s="270"/>
      <c r="AE49" s="270"/>
    </row>
    <row r="50" spans="1:31">
      <c r="A50" s="269">
        <v>52</v>
      </c>
      <c r="C50" s="270">
        <v>76900.929999999993</v>
      </c>
      <c r="D50" s="270"/>
      <c r="E50" s="670">
        <v>1732.25</v>
      </c>
      <c r="F50" s="670">
        <v>108.54</v>
      </c>
      <c r="G50" s="670">
        <v>0</v>
      </c>
      <c r="H50" s="670">
        <v>188.89</v>
      </c>
      <c r="I50" s="670">
        <v>56</v>
      </c>
      <c r="J50" s="670">
        <v>0</v>
      </c>
      <c r="K50" s="577">
        <f t="shared" si="14"/>
        <v>2085.6799999999998</v>
      </c>
      <c r="M50" s="270"/>
      <c r="N50" s="270"/>
      <c r="P50" s="270"/>
      <c r="Q50" s="270"/>
      <c r="R50" s="270"/>
      <c r="S50" s="270"/>
      <c r="T50" s="270"/>
      <c r="U50" s="270"/>
      <c r="V50" s="270"/>
      <c r="W50" s="270"/>
      <c r="X50" s="270"/>
      <c r="Y50" s="1">
        <f t="shared" si="15"/>
        <v>2085.6799999999998</v>
      </c>
      <c r="Z50" s="282">
        <f t="shared" si="16"/>
        <v>76900.929999999993</v>
      </c>
      <c r="AA50" s="270"/>
      <c r="AB50" s="270">
        <f t="shared" si="8"/>
        <v>76900.929999999993</v>
      </c>
      <c r="AC50" s="270"/>
      <c r="AD50" s="270"/>
      <c r="AE50" s="270"/>
    </row>
    <row r="51" spans="1:31">
      <c r="A51" s="269">
        <v>53</v>
      </c>
      <c r="C51" s="270">
        <v>84992.36</v>
      </c>
      <c r="D51" s="270"/>
      <c r="E51" s="670">
        <v>1785.85</v>
      </c>
      <c r="F51" s="670">
        <v>160.66999999999999</v>
      </c>
      <c r="G51" s="670">
        <v>0</v>
      </c>
      <c r="H51" s="670">
        <v>174.48</v>
      </c>
      <c r="I51" s="670">
        <v>56</v>
      </c>
      <c r="J51" s="670">
        <v>0</v>
      </c>
      <c r="K51" s="577">
        <f t="shared" si="9"/>
        <v>2177</v>
      </c>
      <c r="M51" s="270"/>
      <c r="N51" s="270"/>
      <c r="P51" s="270"/>
      <c r="Q51" s="270"/>
      <c r="R51" s="270"/>
      <c r="S51" s="270"/>
      <c r="T51" s="270"/>
      <c r="U51" s="270"/>
      <c r="V51" s="270"/>
      <c r="W51" s="270"/>
      <c r="X51" s="270"/>
      <c r="Y51" s="1">
        <f t="shared" si="10"/>
        <v>2177</v>
      </c>
      <c r="Z51" s="282">
        <f t="shared" si="11"/>
        <v>84992.36</v>
      </c>
      <c r="AA51" s="270"/>
      <c r="AB51" s="270">
        <f t="shared" si="8"/>
        <v>84992.36</v>
      </c>
      <c r="AC51" s="270"/>
      <c r="AD51" s="270"/>
      <c r="AE51" s="270"/>
    </row>
    <row r="52" spans="1:31">
      <c r="A52" s="269">
        <v>54</v>
      </c>
      <c r="C52" s="270">
        <v>54958.18</v>
      </c>
      <c r="D52" s="270"/>
      <c r="E52" s="670">
        <v>1946.73</v>
      </c>
      <c r="F52" s="670">
        <v>44.93</v>
      </c>
      <c r="G52" s="670">
        <v>0</v>
      </c>
      <c r="H52" s="670">
        <v>86.95</v>
      </c>
      <c r="I52" s="670">
        <v>56</v>
      </c>
      <c r="J52" s="670">
        <v>0</v>
      </c>
      <c r="K52" s="577">
        <f t="shared" ref="K52" si="17">SUM(E52:J52)</f>
        <v>2134.61</v>
      </c>
      <c r="M52" s="270"/>
      <c r="N52" s="270"/>
      <c r="P52" s="270"/>
      <c r="Q52" s="270"/>
      <c r="R52" s="270"/>
      <c r="S52" s="270"/>
      <c r="T52" s="270"/>
      <c r="U52" s="270"/>
      <c r="V52" s="270"/>
      <c r="W52" s="270"/>
      <c r="X52" s="270"/>
      <c r="Y52" s="1">
        <f t="shared" si="10"/>
        <v>2134.61</v>
      </c>
      <c r="Z52" s="282">
        <f t="shared" si="11"/>
        <v>54958.18</v>
      </c>
      <c r="AA52" s="270"/>
      <c r="AB52" s="270">
        <f t="shared" si="8"/>
        <v>54958.18</v>
      </c>
      <c r="AC52" s="283"/>
      <c r="AD52" s="270"/>
      <c r="AE52" s="270"/>
    </row>
    <row r="53" spans="1:31">
      <c r="A53" s="269">
        <v>55</v>
      </c>
      <c r="C53" s="270">
        <v>35835.4</v>
      </c>
      <c r="D53" s="270"/>
      <c r="E53" s="670">
        <v>1421.52</v>
      </c>
      <c r="F53" s="670">
        <v>107.59</v>
      </c>
      <c r="G53" s="670">
        <v>0</v>
      </c>
      <c r="H53" s="670">
        <v>55.01</v>
      </c>
      <c r="I53" s="670">
        <v>48</v>
      </c>
      <c r="J53" s="670">
        <v>0</v>
      </c>
      <c r="K53" s="577">
        <f t="shared" ref="K53" si="18">SUM(E53:J53)</f>
        <v>1632.12</v>
      </c>
      <c r="M53" s="270"/>
      <c r="N53" s="270"/>
      <c r="P53" s="270"/>
      <c r="Q53" s="270"/>
      <c r="R53" s="270"/>
      <c r="S53" s="270"/>
      <c r="T53" s="270"/>
      <c r="U53" s="270"/>
      <c r="V53" s="270"/>
      <c r="W53" s="270"/>
      <c r="X53" s="270"/>
      <c r="Y53" s="1">
        <f t="shared" si="10"/>
        <v>1632.12</v>
      </c>
      <c r="Z53" s="282">
        <f t="shared" si="11"/>
        <v>35835.4</v>
      </c>
      <c r="AA53" s="270"/>
      <c r="AB53" s="270">
        <f t="shared" si="8"/>
        <v>35835.4</v>
      </c>
      <c r="AC53" s="283"/>
      <c r="AD53" s="270"/>
      <c r="AE53" s="270"/>
    </row>
    <row r="54" spans="1:31">
      <c r="A54" s="275" t="s">
        <v>203</v>
      </c>
      <c r="C54" s="279">
        <f>SUM(C28:C53)</f>
        <v>1611936.0299999998</v>
      </c>
      <c r="D54" s="270"/>
      <c r="E54" s="685">
        <f t="shared" ref="E54:K54" si="19">SUM(E28:E53)</f>
        <v>44666.27</v>
      </c>
      <c r="F54" s="685">
        <f t="shared" si="19"/>
        <v>3562.1900000000005</v>
      </c>
      <c r="G54" s="685">
        <f t="shared" si="19"/>
        <v>0</v>
      </c>
      <c r="H54" s="685">
        <f t="shared" si="19"/>
        <v>3262.6699999999996</v>
      </c>
      <c r="I54" s="685">
        <f t="shared" si="19"/>
        <v>1290</v>
      </c>
      <c r="J54" s="685">
        <f t="shared" si="19"/>
        <v>0</v>
      </c>
      <c r="K54" s="686">
        <f t="shared" si="19"/>
        <v>52781.13</v>
      </c>
      <c r="M54" s="270" t="e">
        <f>SUM(M12:M52)</f>
        <v>#REF!</v>
      </c>
      <c r="N54" s="270" t="e">
        <f>SUM(N12:N52)</f>
        <v>#REF!</v>
      </c>
      <c r="P54" s="270" t="e">
        <f>SUM(P12:P52)</f>
        <v>#REF!</v>
      </c>
      <c r="Q54" s="270" t="e">
        <f>SUM(Q12:Q52)</f>
        <v>#REF!</v>
      </c>
      <c r="R54" s="270"/>
      <c r="S54" s="270" t="e">
        <f>SUM(S12:S52)</f>
        <v>#REF!</v>
      </c>
      <c r="T54" s="270" t="e">
        <f>SUM(T12:T52)</f>
        <v>#REF!</v>
      </c>
      <c r="U54" s="270"/>
      <c r="V54" s="270" t="e">
        <f>SUM(V12:V52)</f>
        <v>#REF!</v>
      </c>
      <c r="W54" s="270" t="e">
        <f>SUM(W12:W52)</f>
        <v>#REF!</v>
      </c>
      <c r="X54" s="270"/>
      <c r="Y54" s="684">
        <f>SUM(Y28:Y53)</f>
        <v>52781.13</v>
      </c>
      <c r="Z54" s="687">
        <f>SUM(Z28:Z53)</f>
        <v>1611936.0299999998</v>
      </c>
      <c r="AA54" s="270"/>
      <c r="AB54" s="270"/>
      <c r="AC54" s="270">
        <f>+Z54</f>
        <v>1611936.0299999998</v>
      </c>
      <c r="AD54" s="1">
        <f>+AC54*'WP-11 - Non-Regulated'!$K$40</f>
        <v>892885.18901979667</v>
      </c>
      <c r="AE54" s="1" t="s">
        <v>913</v>
      </c>
    </row>
    <row r="55" spans="1:31">
      <c r="C55" s="270"/>
      <c r="D55" s="270"/>
      <c r="E55" s="670"/>
      <c r="F55" s="670"/>
      <c r="G55" s="670"/>
      <c r="H55" s="670"/>
      <c r="I55" s="670"/>
      <c r="J55" s="670"/>
      <c r="K55" s="577"/>
      <c r="M55" s="270"/>
      <c r="N55" s="270"/>
      <c r="P55" s="270"/>
      <c r="Q55" s="270"/>
      <c r="R55" s="270"/>
      <c r="S55" s="270"/>
      <c r="T55" s="270"/>
      <c r="U55" s="270"/>
      <c r="V55" s="270"/>
      <c r="W55" s="270"/>
      <c r="X55" s="270"/>
      <c r="Z55" s="676"/>
      <c r="AA55" s="677"/>
      <c r="AB55" s="677"/>
      <c r="AC55" s="677"/>
    </row>
    <row r="56" spans="1:31">
      <c r="A56" s="907">
        <v>60</v>
      </c>
      <c r="B56"/>
      <c r="C56">
        <v>63376.46</v>
      </c>
      <c r="D56"/>
      <c r="E56" s="688">
        <v>1943.97</v>
      </c>
      <c r="F56" s="688">
        <v>47.86</v>
      </c>
      <c r="G56" s="688">
        <v>0</v>
      </c>
      <c r="H56" s="688">
        <v>93.09</v>
      </c>
      <c r="I56" s="688">
        <v>56</v>
      </c>
      <c r="J56" s="688">
        <v>0</v>
      </c>
      <c r="K56" s="689">
        <f t="shared" ref="K56:K60" si="20">SUM(E56:J56)</f>
        <v>2140.92</v>
      </c>
      <c r="L56"/>
      <c r="M56"/>
      <c r="N56"/>
      <c r="O56"/>
      <c r="P56"/>
      <c r="Q56"/>
      <c r="R56"/>
      <c r="S56"/>
      <c r="T56"/>
      <c r="U56"/>
      <c r="V56"/>
      <c r="W56"/>
      <c r="X56"/>
      <c r="Y56">
        <f t="shared" ref="Y56:Y60" si="21">K56+M56+P56+S56+V56</f>
        <v>2140.92</v>
      </c>
      <c r="Z56" s="521">
        <f t="shared" ref="Z56:Z60" si="22">+C56+N56+Q56+T56+W56</f>
        <v>63376.46</v>
      </c>
      <c r="AA56"/>
      <c r="AB56" s="270">
        <f t="shared" ref="AB56:AB60" si="23">+Z56</f>
        <v>63376.46</v>
      </c>
      <c r="AC56"/>
      <c r="AD56"/>
      <c r="AE56"/>
    </row>
    <row r="57" spans="1:31">
      <c r="A57" s="907">
        <v>61</v>
      </c>
      <c r="B57"/>
      <c r="C57">
        <v>50215.37</v>
      </c>
      <c r="D57"/>
      <c r="E57" s="688">
        <v>2073.25</v>
      </c>
      <c r="F57" s="688">
        <v>397.32</v>
      </c>
      <c r="G57" s="688">
        <v>0</v>
      </c>
      <c r="H57" s="688">
        <v>14.63</v>
      </c>
      <c r="I57" s="688">
        <v>56</v>
      </c>
      <c r="J57" s="688">
        <v>0</v>
      </c>
      <c r="K57" s="689">
        <f t="shared" si="20"/>
        <v>2541.2000000000003</v>
      </c>
      <c r="L57"/>
      <c r="M57"/>
      <c r="N57"/>
      <c r="O57"/>
      <c r="P57"/>
      <c r="Q57"/>
      <c r="R57"/>
      <c r="S57"/>
      <c r="T57"/>
      <c r="U57"/>
      <c r="V57"/>
      <c r="W57"/>
      <c r="X57"/>
      <c r="Y57">
        <f t="shared" si="21"/>
        <v>2541.2000000000003</v>
      </c>
      <c r="Z57" s="521">
        <f t="shared" si="22"/>
        <v>50215.37</v>
      </c>
      <c r="AA57"/>
      <c r="AB57" s="270">
        <f t="shared" si="23"/>
        <v>50215.37</v>
      </c>
      <c r="AC57"/>
      <c r="AD57"/>
      <c r="AE57"/>
    </row>
    <row r="58" spans="1:31">
      <c r="A58" s="907">
        <v>62</v>
      </c>
      <c r="B58"/>
      <c r="C58">
        <v>41209.67</v>
      </c>
      <c r="D58"/>
      <c r="E58" s="688">
        <v>2015.85</v>
      </c>
      <c r="F58" s="688">
        <v>45.77</v>
      </c>
      <c r="G58" s="688">
        <v>0</v>
      </c>
      <c r="H58" s="688">
        <v>47.69</v>
      </c>
      <c r="I58" s="688">
        <v>32</v>
      </c>
      <c r="J58" s="688">
        <v>0</v>
      </c>
      <c r="K58" s="689">
        <f>SUM(E58:J58)</f>
        <v>2141.31</v>
      </c>
      <c r="L58"/>
      <c r="M58"/>
      <c r="N58"/>
      <c r="O58"/>
      <c r="P58"/>
      <c r="Q58"/>
      <c r="R58"/>
      <c r="S58"/>
      <c r="T58"/>
      <c r="U58"/>
      <c r="V58"/>
      <c r="W58"/>
      <c r="X58"/>
      <c r="Y58">
        <f>K58+M58+P58+S58+V58</f>
        <v>2141.31</v>
      </c>
      <c r="Z58" s="521">
        <f>+C58+N58+Q58+T58+W58</f>
        <v>41209.67</v>
      </c>
      <c r="AA58"/>
      <c r="AB58" s="270">
        <f t="shared" si="23"/>
        <v>41209.67</v>
      </c>
      <c r="AC58"/>
      <c r="AD58"/>
      <c r="AE58"/>
    </row>
    <row r="59" spans="1:31">
      <c r="A59" s="907">
        <v>63</v>
      </c>
      <c r="C59" s="270">
        <v>52055.85</v>
      </c>
      <c r="D59" s="270"/>
      <c r="E59" s="670">
        <v>1989.05</v>
      </c>
      <c r="F59" s="670">
        <v>191.79</v>
      </c>
      <c r="G59" s="670">
        <v>0</v>
      </c>
      <c r="H59" s="670">
        <v>157.19999999999999</v>
      </c>
      <c r="I59" s="670">
        <v>56</v>
      </c>
      <c r="J59" s="670">
        <v>0</v>
      </c>
      <c r="K59" s="577">
        <f t="shared" si="20"/>
        <v>2394.04</v>
      </c>
      <c r="M59" s="270"/>
      <c r="N59" s="270"/>
      <c r="P59" s="270"/>
      <c r="Q59" s="270"/>
      <c r="R59" s="270"/>
      <c r="S59" s="270"/>
      <c r="T59" s="270"/>
      <c r="U59" s="270"/>
      <c r="V59" s="270"/>
      <c r="W59" s="270"/>
      <c r="X59" s="270"/>
      <c r="Y59" s="1">
        <f t="shared" si="21"/>
        <v>2394.04</v>
      </c>
      <c r="Z59" s="282">
        <f t="shared" si="22"/>
        <v>52055.85</v>
      </c>
      <c r="AA59" s="270"/>
      <c r="AB59" s="270">
        <f t="shared" si="23"/>
        <v>52055.85</v>
      </c>
      <c r="AC59" s="270"/>
      <c r="AD59" s="270"/>
      <c r="AE59" s="270"/>
    </row>
    <row r="60" spans="1:31">
      <c r="A60" s="907">
        <v>64</v>
      </c>
      <c r="C60" s="270">
        <v>15417.45</v>
      </c>
      <c r="D60" s="270"/>
      <c r="E60" s="670">
        <v>792.45</v>
      </c>
      <c r="F60" s="670">
        <v>20.59</v>
      </c>
      <c r="G60" s="670">
        <v>0</v>
      </c>
      <c r="H60" s="670">
        <v>27.65</v>
      </c>
      <c r="I60" s="670">
        <v>0</v>
      </c>
      <c r="J60" s="670">
        <v>0</v>
      </c>
      <c r="K60" s="577">
        <f t="shared" si="20"/>
        <v>840.69</v>
      </c>
      <c r="M60" s="270"/>
      <c r="N60" s="270"/>
      <c r="P60" s="270"/>
      <c r="Q60" s="270"/>
      <c r="R60" s="270"/>
      <c r="S60" s="270"/>
      <c r="T60" s="270"/>
      <c r="U60" s="270"/>
      <c r="V60" s="270"/>
      <c r="W60" s="270"/>
      <c r="X60" s="270"/>
      <c r="Y60" s="1">
        <f t="shared" si="21"/>
        <v>840.69</v>
      </c>
      <c r="Z60" s="282">
        <f t="shared" si="22"/>
        <v>15417.45</v>
      </c>
      <c r="AA60" s="270"/>
      <c r="AB60" s="270">
        <f t="shared" si="23"/>
        <v>15417.45</v>
      </c>
      <c r="AC60" s="270"/>
      <c r="AD60" s="270"/>
      <c r="AE60" s="270"/>
    </row>
    <row r="61" spans="1:31">
      <c r="A61" s="275" t="s">
        <v>581</v>
      </c>
      <c r="C61" s="671">
        <f>SUM(C56:C60)</f>
        <v>222274.80000000002</v>
      </c>
      <c r="D61" s="270"/>
      <c r="E61" s="672">
        <f t="shared" ref="E61:K61" si="24">SUM(E56:E60)</f>
        <v>8814.57</v>
      </c>
      <c r="F61" s="672">
        <f t="shared" si="24"/>
        <v>703.33</v>
      </c>
      <c r="G61" s="672">
        <f t="shared" si="24"/>
        <v>0</v>
      </c>
      <c r="H61" s="672">
        <f t="shared" si="24"/>
        <v>340.26</v>
      </c>
      <c r="I61" s="672">
        <f t="shared" si="24"/>
        <v>200</v>
      </c>
      <c r="J61" s="672">
        <f t="shared" si="24"/>
        <v>0</v>
      </c>
      <c r="K61" s="673">
        <f t="shared" si="24"/>
        <v>10058.160000000002</v>
      </c>
      <c r="L61" s="270"/>
      <c r="M61" s="671" t="e">
        <f>SUM(M12:M60)</f>
        <v>#REF!</v>
      </c>
      <c r="N61" s="671" t="e">
        <f>SUM(N12:N60)</f>
        <v>#REF!</v>
      </c>
      <c r="O61" s="270"/>
      <c r="P61" s="671" t="e">
        <f>SUM(P12:P60)</f>
        <v>#REF!</v>
      </c>
      <c r="Q61" s="671" t="e">
        <f>SUM(Q12:Q60)</f>
        <v>#REF!</v>
      </c>
      <c r="R61" s="270"/>
      <c r="S61" s="671" t="e">
        <f>SUM(S12:S60)</f>
        <v>#REF!</v>
      </c>
      <c r="T61" s="671" t="e">
        <f>SUM(T12:T60)</f>
        <v>#REF!</v>
      </c>
      <c r="U61" s="270"/>
      <c r="V61" s="671" t="e">
        <f>SUM(V12:V60)</f>
        <v>#REF!</v>
      </c>
      <c r="W61" s="671" t="e">
        <f>SUM(W12:W60)</f>
        <v>#REF!</v>
      </c>
      <c r="X61" s="270"/>
      <c r="Y61" s="674">
        <f>SUM(Y56:Y60)</f>
        <v>10058.160000000002</v>
      </c>
      <c r="Z61" s="675">
        <f>SUM(Z56:Z60)</f>
        <v>222274.80000000002</v>
      </c>
      <c r="AA61" s="270"/>
      <c r="AB61" s="270"/>
      <c r="AC61" s="270">
        <f>+Z61</f>
        <v>222274.80000000002</v>
      </c>
      <c r="AD61" s="1">
        <f>+AC61*'WP-9 - Disposal Fees'!S20</f>
        <v>74046.582935986284</v>
      </c>
      <c r="AE61" s="1" t="s">
        <v>914</v>
      </c>
    </row>
    <row r="62" spans="1:31">
      <c r="C62" s="270"/>
      <c r="D62" s="270"/>
      <c r="E62" s="670"/>
      <c r="F62" s="670"/>
      <c r="G62" s="670"/>
      <c r="H62" s="670"/>
      <c r="I62" s="670"/>
      <c r="J62" s="670"/>
      <c r="K62" s="577"/>
      <c r="M62" s="270"/>
      <c r="N62" s="270"/>
      <c r="P62" s="270"/>
      <c r="Q62" s="270"/>
      <c r="R62" s="270"/>
      <c r="S62" s="270"/>
      <c r="T62" s="270"/>
      <c r="U62" s="270"/>
      <c r="V62" s="270"/>
      <c r="W62" s="270"/>
      <c r="X62" s="270"/>
      <c r="Z62" s="676"/>
      <c r="AA62" s="270"/>
      <c r="AB62" s="677"/>
      <c r="AC62" s="677"/>
    </row>
    <row r="63" spans="1:31">
      <c r="A63" s="547">
        <v>70</v>
      </c>
      <c r="C63" s="270">
        <v>12475.56</v>
      </c>
      <c r="D63" s="270"/>
      <c r="E63" s="670">
        <v>476.08</v>
      </c>
      <c r="F63" s="670">
        <v>2.4500000000000002</v>
      </c>
      <c r="G63" s="670">
        <v>0</v>
      </c>
      <c r="H63" s="670">
        <v>24.06</v>
      </c>
      <c r="I63" s="670">
        <v>16</v>
      </c>
      <c r="J63" s="670">
        <v>0</v>
      </c>
      <c r="K63" s="577">
        <f>SUM(E63:J63)</f>
        <v>518.58999999999992</v>
      </c>
      <c r="M63" s="270"/>
      <c r="N63" s="270"/>
      <c r="P63" s="270"/>
      <c r="Q63" s="270"/>
      <c r="R63" s="270"/>
      <c r="S63" s="270"/>
      <c r="T63" s="270"/>
      <c r="U63" s="270"/>
      <c r="V63" s="270"/>
      <c r="W63" s="270"/>
      <c r="X63" s="270"/>
      <c r="Y63" s="1">
        <f>K63+M63+P63+S63+V63</f>
        <v>518.58999999999992</v>
      </c>
      <c r="Z63" s="282">
        <f>+C63+N63+Q63+T63+W63</f>
        <v>12475.56</v>
      </c>
      <c r="AA63" s="270"/>
      <c r="AB63" s="270">
        <f t="shared" ref="AB63:AB66" si="25">+Z63</f>
        <v>12475.56</v>
      </c>
      <c r="AC63" s="677"/>
    </row>
    <row r="64" spans="1:31">
      <c r="A64" s="547">
        <v>71</v>
      </c>
      <c r="C64" s="270">
        <v>117447.16</v>
      </c>
      <c r="D64" s="270"/>
      <c r="E64" s="690">
        <v>2028.4</v>
      </c>
      <c r="F64" s="670">
        <v>497.92</v>
      </c>
      <c r="G64" s="670">
        <v>0</v>
      </c>
      <c r="H64" s="670">
        <v>49.19</v>
      </c>
      <c r="I64" s="670">
        <v>56</v>
      </c>
      <c r="J64" s="670">
        <v>0</v>
      </c>
      <c r="K64" s="577">
        <f>SUM(E64:J64)</f>
        <v>2631.51</v>
      </c>
      <c r="M64" s="270"/>
      <c r="N64" s="270"/>
      <c r="P64" s="270"/>
      <c r="Q64" s="270"/>
      <c r="R64" s="270"/>
      <c r="S64" s="270"/>
      <c r="T64" s="270"/>
      <c r="U64" s="270"/>
      <c r="V64" s="270"/>
      <c r="W64" s="270"/>
      <c r="X64" s="270"/>
      <c r="Y64" s="1">
        <f>K64+M64+P64+S64+V64</f>
        <v>2631.51</v>
      </c>
      <c r="Z64" s="282">
        <f>+C64+N64+Q64+T64+W64</f>
        <v>117447.16</v>
      </c>
      <c r="AA64" s="270"/>
      <c r="AB64" s="270">
        <f t="shared" si="25"/>
        <v>117447.16</v>
      </c>
      <c r="AC64" s="270"/>
      <c r="AD64" s="270"/>
      <c r="AE64" s="270"/>
    </row>
    <row r="65" spans="1:31">
      <c r="A65" s="547">
        <v>72</v>
      </c>
      <c r="C65" s="270">
        <v>110626.93</v>
      </c>
      <c r="D65" s="270"/>
      <c r="E65" s="670">
        <v>2043.97</v>
      </c>
      <c r="F65" s="670">
        <v>526.20000000000005</v>
      </c>
      <c r="G65" s="670">
        <v>0</v>
      </c>
      <c r="H65" s="670">
        <v>72.5</v>
      </c>
      <c r="I65" s="670">
        <v>56</v>
      </c>
      <c r="J65" s="670">
        <v>0</v>
      </c>
      <c r="K65" s="577">
        <f t="shared" ref="K65:K66" si="26">SUM(E65:J65)</f>
        <v>2698.67</v>
      </c>
      <c r="M65" s="270"/>
      <c r="N65" s="270"/>
      <c r="P65" s="270"/>
      <c r="Q65" s="270"/>
      <c r="R65" s="270"/>
      <c r="S65" s="270"/>
      <c r="T65" s="270"/>
      <c r="U65" s="270"/>
      <c r="V65" s="270"/>
      <c r="W65" s="270"/>
      <c r="X65" s="270"/>
      <c r="Y65" s="1">
        <f t="shared" ref="Y65:Y66" si="27">K65+M65+P65+S65+V65</f>
        <v>2698.67</v>
      </c>
      <c r="Z65" s="282">
        <f t="shared" ref="Z65:Z66" si="28">+C65+N65+Q65+T65+W65</f>
        <v>110626.93</v>
      </c>
      <c r="AA65" s="270"/>
      <c r="AB65" s="270">
        <f t="shared" si="25"/>
        <v>110626.93</v>
      </c>
      <c r="AC65" s="283"/>
      <c r="AD65" s="270"/>
      <c r="AE65" s="270"/>
    </row>
    <row r="66" spans="1:31">
      <c r="A66" s="547">
        <v>73</v>
      </c>
      <c r="C66" s="270">
        <v>17494</v>
      </c>
      <c r="D66" s="270"/>
      <c r="E66" s="670">
        <v>389.14</v>
      </c>
      <c r="F66" s="670">
        <v>14.9</v>
      </c>
      <c r="G66" s="670">
        <v>0</v>
      </c>
      <c r="H66" s="670">
        <v>120.02</v>
      </c>
      <c r="I66" s="670">
        <v>16</v>
      </c>
      <c r="J66" s="670">
        <v>0</v>
      </c>
      <c r="K66" s="577">
        <f t="shared" si="26"/>
        <v>540.05999999999995</v>
      </c>
      <c r="M66" s="270"/>
      <c r="N66" s="270"/>
      <c r="P66" s="270"/>
      <c r="Q66" s="270"/>
      <c r="R66" s="270"/>
      <c r="S66" s="270"/>
      <c r="T66" s="270"/>
      <c r="U66" s="270"/>
      <c r="V66" s="270"/>
      <c r="W66" s="270"/>
      <c r="X66" s="270"/>
      <c r="Y66" s="1">
        <f t="shared" si="27"/>
        <v>540.05999999999995</v>
      </c>
      <c r="Z66" s="282">
        <f t="shared" si="28"/>
        <v>17494</v>
      </c>
      <c r="AA66" s="270"/>
      <c r="AB66" s="270">
        <f t="shared" si="25"/>
        <v>17494</v>
      </c>
      <c r="AC66" s="283"/>
      <c r="AD66" s="270"/>
      <c r="AE66" s="270"/>
    </row>
    <row r="67" spans="1:31">
      <c r="A67" s="275" t="s">
        <v>8</v>
      </c>
      <c r="C67" s="671">
        <f>SUM(C63:C66)</f>
        <v>258043.65</v>
      </c>
      <c r="D67" s="270"/>
      <c r="E67" s="672">
        <f t="shared" ref="E67:K67" si="29">SUM(E63:E66)</f>
        <v>4937.59</v>
      </c>
      <c r="F67" s="672">
        <f t="shared" si="29"/>
        <v>1041.4700000000003</v>
      </c>
      <c r="G67" s="672">
        <f t="shared" si="29"/>
        <v>0</v>
      </c>
      <c r="H67" s="672">
        <f t="shared" si="29"/>
        <v>265.77</v>
      </c>
      <c r="I67" s="672">
        <f t="shared" si="29"/>
        <v>144</v>
      </c>
      <c r="J67" s="672">
        <f t="shared" si="29"/>
        <v>0</v>
      </c>
      <c r="K67" s="673">
        <f t="shared" si="29"/>
        <v>6388.83</v>
      </c>
      <c r="M67" s="671"/>
      <c r="N67" s="671"/>
      <c r="P67" s="671"/>
      <c r="Q67" s="671"/>
      <c r="R67" s="270"/>
      <c r="S67" s="671"/>
      <c r="T67" s="671"/>
      <c r="U67" s="270"/>
      <c r="V67" s="671"/>
      <c r="W67" s="671"/>
      <c r="X67" s="270"/>
      <c r="Y67" s="674">
        <f>SUM(Y63:Y66)</f>
        <v>6388.83</v>
      </c>
      <c r="Z67" s="671">
        <f>SUM(Z63:Z66)</f>
        <v>258043.65</v>
      </c>
      <c r="AA67" s="270"/>
      <c r="AB67" s="270"/>
      <c r="AC67" s="270">
        <f>+Z67</f>
        <v>258043.65</v>
      </c>
      <c r="AD67" s="1">
        <f>+AC67*'WP-11 - Non-Regulated'!$K$40</f>
        <v>142935.79206465674</v>
      </c>
      <c r="AE67" s="1" t="s">
        <v>913</v>
      </c>
    </row>
    <row r="68" spans="1:31">
      <c r="A68" s="275"/>
      <c r="C68" s="270"/>
      <c r="D68" s="270"/>
      <c r="E68" s="670"/>
      <c r="F68" s="670"/>
      <c r="G68" s="670"/>
      <c r="H68" s="670"/>
      <c r="I68" s="670"/>
      <c r="J68" s="670"/>
      <c r="K68" s="577"/>
      <c r="M68" s="270"/>
      <c r="N68" s="270"/>
      <c r="P68" s="270"/>
      <c r="Q68" s="270"/>
      <c r="R68" s="270"/>
      <c r="S68" s="270"/>
      <c r="T68" s="270"/>
      <c r="U68" s="270"/>
      <c r="V68" s="270"/>
      <c r="W68" s="270"/>
      <c r="X68" s="270"/>
      <c r="AA68" s="270"/>
      <c r="AB68" s="270"/>
      <c r="AC68" s="270"/>
      <c r="AD68" s="270"/>
      <c r="AE68" s="270"/>
    </row>
    <row r="69" spans="1:31">
      <c r="A69" s="907">
        <v>80</v>
      </c>
      <c r="B69"/>
      <c r="C69">
        <v>4477.71</v>
      </c>
      <c r="D69"/>
      <c r="E69" s="688">
        <v>253.22</v>
      </c>
      <c r="F69" s="688">
        <v>0</v>
      </c>
      <c r="G69" s="688">
        <v>0</v>
      </c>
      <c r="H69" s="688">
        <v>0</v>
      </c>
      <c r="I69" s="688">
        <v>0</v>
      </c>
      <c r="J69" s="688">
        <v>0</v>
      </c>
      <c r="K69" s="689">
        <f>SUM(E69:J69)</f>
        <v>253.22</v>
      </c>
      <c r="L69"/>
      <c r="M69"/>
      <c r="N69"/>
      <c r="O69"/>
      <c r="P69"/>
      <c r="Q69"/>
      <c r="R69"/>
      <c r="S69"/>
      <c r="T69"/>
      <c r="U69"/>
      <c r="V69"/>
      <c r="W69"/>
      <c r="X69"/>
      <c r="Y69">
        <f>K69+M69+P69+S69+V69</f>
        <v>253.22</v>
      </c>
      <c r="Z69">
        <f>+C69+N69+Q69+T69+W69</f>
        <v>4477.71</v>
      </c>
      <c r="AA69"/>
      <c r="AB69" s="270">
        <f t="shared" ref="AB69:AB75" si="30">+Z69</f>
        <v>4477.71</v>
      </c>
      <c r="AC69"/>
      <c r="AD69"/>
      <c r="AE69"/>
    </row>
    <row r="70" spans="1:31">
      <c r="A70" s="907">
        <v>81</v>
      </c>
      <c r="B70"/>
      <c r="C70">
        <v>9745.14</v>
      </c>
      <c r="D70"/>
      <c r="E70" s="688">
        <v>389.88</v>
      </c>
      <c r="F70" s="688">
        <v>35.5</v>
      </c>
      <c r="G70" s="688">
        <v>0</v>
      </c>
      <c r="H70" s="688">
        <v>3.4</v>
      </c>
      <c r="I70" s="688">
        <v>8</v>
      </c>
      <c r="J70" s="688">
        <v>0</v>
      </c>
      <c r="K70" s="689">
        <f>SUM(E70:J70)</f>
        <v>436.78</v>
      </c>
      <c r="L70"/>
      <c r="M70"/>
      <c r="N70"/>
      <c r="O70"/>
      <c r="P70"/>
      <c r="Q70"/>
      <c r="R70"/>
      <c r="S70"/>
      <c r="T70"/>
      <c r="U70"/>
      <c r="V70"/>
      <c r="W70"/>
      <c r="X70"/>
      <c r="Y70">
        <f>K70+M70+P70+S70+V70</f>
        <v>436.78</v>
      </c>
      <c r="Z70">
        <f>+C70+N70+Q70+T70+W70</f>
        <v>9745.14</v>
      </c>
      <c r="AA70"/>
      <c r="AB70" s="270">
        <f t="shared" si="30"/>
        <v>9745.14</v>
      </c>
      <c r="AC70"/>
      <c r="AD70"/>
      <c r="AE70"/>
    </row>
    <row r="71" spans="1:31">
      <c r="A71" s="907">
        <v>82</v>
      </c>
      <c r="C71" s="270">
        <v>15434.72</v>
      </c>
      <c r="D71" s="270"/>
      <c r="E71" s="670">
        <v>427.55</v>
      </c>
      <c r="F71" s="670">
        <v>17.59</v>
      </c>
      <c r="G71" s="670">
        <v>0</v>
      </c>
      <c r="H71" s="670">
        <v>14.15</v>
      </c>
      <c r="I71" s="670">
        <v>8</v>
      </c>
      <c r="J71" s="670">
        <v>0</v>
      </c>
      <c r="K71" s="577">
        <f t="shared" ref="K71:K75" si="31">SUM(E71:J71)</f>
        <v>467.28999999999996</v>
      </c>
      <c r="M71" s="270"/>
      <c r="N71" s="270"/>
      <c r="P71" s="270"/>
      <c r="Q71" s="270"/>
      <c r="R71" s="270"/>
      <c r="S71" s="270"/>
      <c r="T71" s="270"/>
      <c r="U71" s="270"/>
      <c r="V71" s="270"/>
      <c r="W71" s="270"/>
      <c r="X71" s="270"/>
      <c r="Y71" s="1">
        <f t="shared" ref="Y71:Y75" si="32">K71+M71+P71+S71+V71</f>
        <v>467.28999999999996</v>
      </c>
      <c r="Z71" s="282">
        <f t="shared" ref="Z71:Z75" si="33">+C71+N71+Q71+T71+W71</f>
        <v>15434.72</v>
      </c>
      <c r="AA71" s="270"/>
      <c r="AB71" s="270">
        <f t="shared" si="30"/>
        <v>15434.72</v>
      </c>
      <c r="AC71" s="283"/>
      <c r="AD71" s="270"/>
      <c r="AE71" s="270"/>
    </row>
    <row r="72" spans="1:31">
      <c r="A72" s="907">
        <v>83</v>
      </c>
      <c r="C72" s="270">
        <v>5889.87</v>
      </c>
      <c r="D72" s="270"/>
      <c r="E72" s="670">
        <v>325.79000000000002</v>
      </c>
      <c r="F72" s="670">
        <v>0.95</v>
      </c>
      <c r="G72" s="670">
        <v>0</v>
      </c>
      <c r="H72" s="670">
        <v>0</v>
      </c>
      <c r="I72" s="670">
        <v>0</v>
      </c>
      <c r="J72" s="670">
        <v>0</v>
      </c>
      <c r="K72" s="577">
        <f t="shared" si="31"/>
        <v>326.74</v>
      </c>
      <c r="M72" s="270"/>
      <c r="N72" s="270"/>
      <c r="P72" s="270"/>
      <c r="Q72" s="270"/>
      <c r="R72" s="270"/>
      <c r="S72" s="270"/>
      <c r="T72" s="270"/>
      <c r="U72" s="270"/>
      <c r="V72" s="270"/>
      <c r="W72" s="270"/>
      <c r="X72" s="270"/>
      <c r="Y72" s="1">
        <f t="shared" si="32"/>
        <v>326.74</v>
      </c>
      <c r="Z72" s="282">
        <f t="shared" si="33"/>
        <v>5889.87</v>
      </c>
      <c r="AA72" s="270"/>
      <c r="AB72" s="270">
        <f t="shared" si="30"/>
        <v>5889.87</v>
      </c>
      <c r="AC72" s="283"/>
      <c r="AD72" s="270"/>
      <c r="AE72" s="270"/>
    </row>
    <row r="73" spans="1:31">
      <c r="A73" s="907">
        <v>84</v>
      </c>
      <c r="C73" s="270">
        <v>14269.4</v>
      </c>
      <c r="D73" s="270"/>
      <c r="E73" s="670">
        <v>553.13</v>
      </c>
      <c r="F73" s="670">
        <v>16.73</v>
      </c>
      <c r="G73" s="670">
        <v>0</v>
      </c>
      <c r="H73" s="670">
        <v>0</v>
      </c>
      <c r="I73" s="670">
        <v>8</v>
      </c>
      <c r="J73" s="670">
        <v>0</v>
      </c>
      <c r="K73" s="577">
        <f t="shared" si="31"/>
        <v>577.86</v>
      </c>
      <c r="M73" s="270"/>
      <c r="N73" s="270"/>
      <c r="P73" s="270"/>
      <c r="Q73" s="270"/>
      <c r="R73" s="270"/>
      <c r="S73" s="270"/>
      <c r="T73" s="270"/>
      <c r="U73" s="270"/>
      <c r="V73" s="270"/>
      <c r="W73" s="270"/>
      <c r="X73" s="270"/>
      <c r="Y73" s="1">
        <f t="shared" si="32"/>
        <v>577.86</v>
      </c>
      <c r="Z73" s="282">
        <f t="shared" si="33"/>
        <v>14269.4</v>
      </c>
      <c r="AA73" s="270"/>
      <c r="AB73" s="270">
        <f t="shared" si="30"/>
        <v>14269.4</v>
      </c>
      <c r="AC73" s="283"/>
      <c r="AD73" s="270"/>
      <c r="AE73" s="270"/>
    </row>
    <row r="74" spans="1:31">
      <c r="A74" s="907">
        <v>85</v>
      </c>
      <c r="C74" s="270">
        <v>20839.25</v>
      </c>
      <c r="D74" s="270"/>
      <c r="E74" s="670">
        <v>992.66</v>
      </c>
      <c r="F74" s="670">
        <v>62.59</v>
      </c>
      <c r="G74" s="670">
        <v>0</v>
      </c>
      <c r="H74" s="670">
        <v>44.08</v>
      </c>
      <c r="I74" s="670">
        <v>16</v>
      </c>
      <c r="J74" s="670">
        <v>0</v>
      </c>
      <c r="K74" s="577">
        <f t="shared" si="31"/>
        <v>1115.33</v>
      </c>
      <c r="M74" s="270"/>
      <c r="N74" s="270"/>
      <c r="P74" s="270"/>
      <c r="Q74" s="270"/>
      <c r="R74" s="270"/>
      <c r="S74" s="270"/>
      <c r="T74" s="270"/>
      <c r="U74" s="270"/>
      <c r="V74" s="270"/>
      <c r="W74" s="270"/>
      <c r="X74" s="270"/>
      <c r="Y74" s="1">
        <f t="shared" si="32"/>
        <v>1115.33</v>
      </c>
      <c r="Z74" s="282">
        <f t="shared" si="33"/>
        <v>20839.25</v>
      </c>
      <c r="AA74" s="270"/>
      <c r="AB74" s="270">
        <f t="shared" si="30"/>
        <v>20839.25</v>
      </c>
      <c r="AC74" s="283"/>
      <c r="AD74" s="270"/>
      <c r="AE74" s="270"/>
    </row>
    <row r="75" spans="1:31">
      <c r="A75" s="907">
        <v>86</v>
      </c>
      <c r="C75" s="270">
        <v>10124.57</v>
      </c>
      <c r="D75" s="270"/>
      <c r="E75" s="670">
        <v>521.63</v>
      </c>
      <c r="F75" s="670">
        <v>9.9700000000000006</v>
      </c>
      <c r="G75" s="670">
        <v>0</v>
      </c>
      <c r="H75" s="670">
        <v>6.78</v>
      </c>
      <c r="I75" s="670">
        <v>8</v>
      </c>
      <c r="J75" s="670">
        <v>0</v>
      </c>
      <c r="K75" s="577">
        <f t="shared" si="31"/>
        <v>546.38</v>
      </c>
      <c r="M75" s="270"/>
      <c r="N75" s="270"/>
      <c r="P75" s="270"/>
      <c r="Q75" s="270"/>
      <c r="R75" s="270"/>
      <c r="S75" s="270"/>
      <c r="T75" s="270"/>
      <c r="U75" s="270"/>
      <c r="V75" s="270"/>
      <c r="W75" s="270"/>
      <c r="X75" s="270"/>
      <c r="Y75" s="1">
        <f t="shared" si="32"/>
        <v>546.38</v>
      </c>
      <c r="Z75" s="282">
        <f t="shared" si="33"/>
        <v>10124.57</v>
      </c>
      <c r="AA75" s="270"/>
      <c r="AB75" s="270">
        <f t="shared" si="30"/>
        <v>10124.57</v>
      </c>
      <c r="AC75" s="283"/>
      <c r="AD75" s="270"/>
      <c r="AE75" s="270"/>
    </row>
    <row r="76" spans="1:31">
      <c r="A76" s="275" t="s">
        <v>970</v>
      </c>
      <c r="C76" s="671">
        <f>SUM(C69:C75)</f>
        <v>80780.66</v>
      </c>
      <c r="D76" s="270"/>
      <c r="E76" s="672">
        <f>SUM(E69:E75)</f>
        <v>3463.86</v>
      </c>
      <c r="F76" s="672">
        <f>SUM(F69:F75)</f>
        <v>143.33000000000001</v>
      </c>
      <c r="G76" s="672">
        <f>SUM(G69:G72)</f>
        <v>0</v>
      </c>
      <c r="H76" s="672">
        <f>SUM(H69:H75)</f>
        <v>68.41</v>
      </c>
      <c r="I76" s="672">
        <f>SUM(I69:I75)</f>
        <v>48</v>
      </c>
      <c r="J76" s="672">
        <f>SUM(J69:J75)</f>
        <v>0</v>
      </c>
      <c r="K76" s="673">
        <f>SUM(K69:K75)</f>
        <v>3723.6</v>
      </c>
      <c r="M76" s="671"/>
      <c r="N76" s="671"/>
      <c r="P76" s="671"/>
      <c r="Q76" s="671"/>
      <c r="R76" s="270"/>
      <c r="S76" s="671"/>
      <c r="T76" s="671"/>
      <c r="U76" s="270"/>
      <c r="V76" s="671"/>
      <c r="W76" s="671"/>
      <c r="X76" s="270"/>
      <c r="Y76" s="674">
        <f>SUM(Y69:Y75)</f>
        <v>3723.6</v>
      </c>
      <c r="Z76" s="675">
        <f>SUM(Z69:Z75)</f>
        <v>80780.66</v>
      </c>
      <c r="AA76" s="270"/>
      <c r="AB76" s="270"/>
      <c r="AC76" s="270">
        <f>+Z76</f>
        <v>80780.66</v>
      </c>
      <c r="AD76" s="1">
        <f>+AC76*'WP-11 - Non-Regulated'!$K$40</f>
        <v>44746.102531900062</v>
      </c>
      <c r="AE76" s="1" t="s">
        <v>913</v>
      </c>
    </row>
    <row r="77" spans="1:31">
      <c r="C77" s="279"/>
      <c r="D77" s="270"/>
      <c r="E77" s="685"/>
      <c r="F77" s="685"/>
      <c r="G77" s="685"/>
      <c r="H77" s="685"/>
      <c r="I77" s="685"/>
      <c r="J77" s="685"/>
      <c r="K77" s="686"/>
      <c r="M77" s="270"/>
      <c r="N77" s="270"/>
      <c r="P77" s="270"/>
      <c r="Q77" s="270"/>
      <c r="R77" s="270"/>
      <c r="S77" s="270"/>
      <c r="T77" s="270"/>
      <c r="U77" s="270"/>
      <c r="V77" s="270"/>
      <c r="W77" s="270"/>
      <c r="X77" s="270"/>
      <c r="Y77" s="684"/>
      <c r="Z77" s="691"/>
      <c r="AA77" s="270"/>
      <c r="AB77" s="905"/>
      <c r="AC77" s="905"/>
      <c r="AD77" s="544"/>
    </row>
    <row r="78" spans="1:31" ht="15.75" customHeight="1" thickBot="1">
      <c r="A78" s="2"/>
      <c r="C78" s="692">
        <f>+C67+C54+C61+C21+C12+C26+C76</f>
        <v>3040494.41</v>
      </c>
      <c r="D78" s="284"/>
      <c r="E78" s="693">
        <f t="shared" ref="E78:K78" si="34">+E67+E54+E61+E21+E12+E26+E76</f>
        <v>80544.7</v>
      </c>
      <c r="F78" s="693">
        <f t="shared" si="34"/>
        <v>6034.7100000000009</v>
      </c>
      <c r="G78" s="693">
        <f t="shared" si="34"/>
        <v>0</v>
      </c>
      <c r="H78" s="693">
        <f t="shared" si="34"/>
        <v>5425.4599999999991</v>
      </c>
      <c r="I78" s="693">
        <f t="shared" si="34"/>
        <v>2130</v>
      </c>
      <c r="J78" s="693">
        <f t="shared" si="34"/>
        <v>15.62</v>
      </c>
      <c r="K78" s="694">
        <f t="shared" si="34"/>
        <v>94150.49</v>
      </c>
      <c r="L78" s="284"/>
      <c r="M78" s="692" t="e">
        <f t="shared" ref="M78:X78" si="35">M67+M61+M54+M12</f>
        <v>#REF!</v>
      </c>
      <c r="N78" s="692" t="e">
        <f t="shared" si="35"/>
        <v>#REF!</v>
      </c>
      <c r="O78" s="692">
        <f t="shared" si="35"/>
        <v>0</v>
      </c>
      <c r="P78" s="692" t="e">
        <f t="shared" si="35"/>
        <v>#REF!</v>
      </c>
      <c r="Q78" s="692" t="e">
        <f t="shared" si="35"/>
        <v>#REF!</v>
      </c>
      <c r="R78" s="692">
        <f t="shared" si="35"/>
        <v>0</v>
      </c>
      <c r="S78" s="692" t="e">
        <f t="shared" si="35"/>
        <v>#REF!</v>
      </c>
      <c r="T78" s="692" t="e">
        <f t="shared" si="35"/>
        <v>#REF!</v>
      </c>
      <c r="U78" s="692">
        <f t="shared" si="35"/>
        <v>0</v>
      </c>
      <c r="V78" s="692" t="e">
        <f t="shared" si="35"/>
        <v>#REF!</v>
      </c>
      <c r="W78" s="692" t="e">
        <f t="shared" si="35"/>
        <v>#REF!</v>
      </c>
      <c r="X78" s="692">
        <f t="shared" si="35"/>
        <v>0</v>
      </c>
      <c r="Y78" s="695">
        <f>+Y67+Y54+Y61+Y21+Y12+Y26+Y76</f>
        <v>94150.49</v>
      </c>
      <c r="Z78" s="692">
        <f>+Z67+Z54+Z61+Z21+Z12+Z26+Z76</f>
        <v>3040494.41</v>
      </c>
      <c r="AA78" s="270"/>
      <c r="AB78" s="270">
        <f>SUM(AB11:AB75)</f>
        <v>3040494.4100000011</v>
      </c>
      <c r="AC78" s="270">
        <f>SUM(AC11:AC76)</f>
        <v>3040494.4099999997</v>
      </c>
      <c r="AD78" s="1">
        <f>SUM(AD12:AD77)</f>
        <v>1783305.2567262831</v>
      </c>
      <c r="AE78" s="270"/>
    </row>
    <row r="79" spans="1:31" ht="16.5" thickTop="1">
      <c r="AD79" s="906">
        <f>+AD78/AB78</f>
        <v>0.58651818298402414</v>
      </c>
      <c r="AE79" s="1" t="s">
        <v>1309</v>
      </c>
    </row>
    <row r="80" spans="1:31">
      <c r="A80" s="1" t="s">
        <v>112</v>
      </c>
      <c r="C80" s="1">
        <f>Operations!C30</f>
        <v>3040494.4099999997</v>
      </c>
      <c r="F80" s="696"/>
      <c r="G80" s="696"/>
      <c r="H80" s="696"/>
      <c r="I80" s="696"/>
      <c r="J80" s="696"/>
      <c r="K80" s="696"/>
      <c r="W80" s="1" t="e">
        <f>+N78+Q78+T78+W78</f>
        <v>#REF!</v>
      </c>
      <c r="Z80" s="282">
        <f>+C80</f>
        <v>3040494.4099999997</v>
      </c>
      <c r="AB80" s="1">
        <f>+AB78-AD78</f>
        <v>1257189.153273718</v>
      </c>
      <c r="AD80" s="906">
        <f>1-(+AD78/AB78)</f>
        <v>0.41348181701597586</v>
      </c>
      <c r="AE80" s="1" t="s">
        <v>921</v>
      </c>
    </row>
    <row r="81" spans="1:31" s="537" customFormat="1" ht="15.75" customHeight="1">
      <c r="A81" s="1"/>
      <c r="B81" s="1"/>
      <c r="C81" s="523">
        <f>C78-C80</f>
        <v>0</v>
      </c>
      <c r="D81" s="1"/>
      <c r="E81" s="271"/>
      <c r="F81" s="696"/>
      <c r="G81" s="696"/>
      <c r="H81" s="696"/>
      <c r="I81" s="696"/>
      <c r="J81" s="696"/>
      <c r="K81" s="696"/>
      <c r="L81" s="271"/>
      <c r="M81" s="1"/>
      <c r="N81" s="1"/>
      <c r="O81" s="271"/>
      <c r="P81" s="1"/>
      <c r="Q81" s="1"/>
      <c r="R81" s="1"/>
      <c r="S81" s="1"/>
      <c r="T81" s="1"/>
      <c r="U81" s="1"/>
      <c r="V81" s="1"/>
      <c r="W81" s="1"/>
      <c r="X81" s="1"/>
      <c r="Y81" s="1"/>
      <c r="Z81" s="662">
        <f>Z78-Z80</f>
        <v>0</v>
      </c>
      <c r="AA81" s="1"/>
      <c r="AB81" s="285"/>
      <c r="AC81" s="39"/>
      <c r="AD81" s="1"/>
      <c r="AE81" s="1"/>
    </row>
    <row r="82" spans="1:31" s="537" customFormat="1">
      <c r="A82" s="1"/>
      <c r="B82" s="1"/>
      <c r="C82" s="2"/>
      <c r="D82" s="1"/>
      <c r="E82" s="271"/>
      <c r="F82" s="696"/>
      <c r="G82" s="696"/>
      <c r="H82" s="696"/>
      <c r="I82" s="696"/>
      <c r="J82" s="696"/>
      <c r="K82" s="696"/>
      <c r="L82" s="271"/>
      <c r="M82" s="1"/>
      <c r="N82" s="1"/>
      <c r="O82" s="271"/>
      <c r="P82" s="1"/>
      <c r="Q82" s="1"/>
      <c r="R82" s="1"/>
      <c r="S82" s="1"/>
      <c r="T82" s="1"/>
      <c r="U82" s="1"/>
      <c r="V82" s="285"/>
      <c r="W82" s="1"/>
      <c r="X82" s="1"/>
      <c r="Y82" s="1"/>
      <c r="Z82" s="286"/>
      <c r="AA82" s="1"/>
      <c r="AB82" s="1"/>
      <c r="AC82" s="1"/>
      <c r="AD82" s="1"/>
      <c r="AE82" s="1"/>
    </row>
    <row r="83" spans="1:31" s="537" customFormat="1" ht="15.75" customHeight="1">
      <c r="A83" s="543"/>
      <c r="B83" s="697"/>
      <c r="C83" s="548">
        <v>3040494.41</v>
      </c>
      <c r="E83" s="698"/>
      <c r="F83" s="699"/>
      <c r="G83" s="699"/>
      <c r="H83" s="699"/>
      <c r="I83" s="699"/>
      <c r="J83" s="699"/>
      <c r="K83" s="699"/>
      <c r="L83" s="699"/>
      <c r="M83" s="699"/>
      <c r="N83" s="699"/>
      <c r="O83" s="699"/>
      <c r="P83" s="699"/>
      <c r="Q83" s="699"/>
      <c r="Z83" s="548"/>
    </row>
    <row r="84" spans="1:31" s="537" customFormat="1">
      <c r="A84" s="1"/>
      <c r="B84" s="697"/>
      <c r="C84" s="537">
        <f>+C78-C83</f>
        <v>0</v>
      </c>
      <c r="E84" s="700"/>
      <c r="F84" s="699"/>
      <c r="G84" s="699"/>
      <c r="H84" s="699"/>
      <c r="I84" s="699"/>
      <c r="J84" s="699"/>
      <c r="K84" s="699"/>
      <c r="L84" s="699"/>
      <c r="M84" s="699"/>
      <c r="N84" s="699"/>
      <c r="O84" s="699"/>
      <c r="P84" s="699"/>
      <c r="Q84" s="699"/>
      <c r="Z84" s="548"/>
    </row>
    <row r="85" spans="1:31" s="537" customFormat="1">
      <c r="A85" s="1"/>
      <c r="B85" s="697"/>
      <c r="C85" s="548"/>
      <c r="E85" s="700"/>
      <c r="F85" s="699"/>
      <c r="G85" s="699"/>
      <c r="H85" s="699"/>
      <c r="I85" s="699"/>
      <c r="J85" s="699"/>
      <c r="K85" s="699"/>
      <c r="L85" s="699"/>
      <c r="M85" s="699"/>
      <c r="N85" s="699"/>
      <c r="O85" s="699"/>
      <c r="P85" s="699"/>
      <c r="Q85" s="699"/>
      <c r="Z85" s="548"/>
    </row>
    <row r="86" spans="1:31" s="537" customFormat="1">
      <c r="A86" s="1"/>
      <c r="B86" s="697"/>
      <c r="E86" s="700"/>
      <c r="F86" s="699"/>
      <c r="G86" s="699"/>
      <c r="H86" s="699"/>
      <c r="I86" s="699"/>
      <c r="J86" s="699"/>
      <c r="K86" s="699"/>
      <c r="L86" s="699"/>
      <c r="M86" s="699"/>
      <c r="N86" s="699"/>
      <c r="O86" s="699"/>
      <c r="P86" s="699"/>
      <c r="Q86" s="699"/>
      <c r="Z86" s="548"/>
    </row>
    <row r="87" spans="1:31" s="537" customFormat="1">
      <c r="A87" s="1"/>
      <c r="B87" s="697"/>
      <c r="C87" s="548"/>
      <c r="E87" s="700"/>
      <c r="F87" s="699"/>
      <c r="G87" s="699"/>
      <c r="H87" s="699"/>
      <c r="I87" s="699"/>
      <c r="J87" s="699"/>
      <c r="K87" s="699"/>
      <c r="L87" s="699"/>
      <c r="M87" s="699"/>
      <c r="N87" s="699"/>
      <c r="O87" s="699"/>
      <c r="P87" s="699"/>
      <c r="Q87" s="699"/>
      <c r="Z87" s="548"/>
    </row>
    <row r="88" spans="1:31" s="537" customFormat="1">
      <c r="A88" s="1"/>
      <c r="C88" s="701"/>
      <c r="E88" s="700"/>
      <c r="F88" s="699"/>
      <c r="G88" s="699"/>
      <c r="H88" s="699"/>
      <c r="I88" s="699"/>
      <c r="J88" s="699"/>
      <c r="K88" s="699"/>
      <c r="L88" s="699"/>
      <c r="M88" s="699"/>
      <c r="N88" s="699"/>
      <c r="O88" s="699"/>
      <c r="P88" s="699"/>
      <c r="Q88" s="699"/>
      <c r="Z88" s="548"/>
    </row>
    <row r="89" spans="1:31" s="537" customFormat="1">
      <c r="A89" s="1"/>
      <c r="B89" s="697"/>
      <c r="E89" s="700"/>
      <c r="F89" s="699"/>
      <c r="G89" s="699"/>
      <c r="H89" s="699"/>
      <c r="I89" s="699"/>
      <c r="J89" s="699"/>
      <c r="K89" s="699"/>
      <c r="L89" s="699"/>
      <c r="M89" s="699"/>
      <c r="N89" s="699"/>
      <c r="O89" s="699"/>
      <c r="P89" s="699"/>
      <c r="Q89" s="699"/>
      <c r="Z89" s="548"/>
    </row>
    <row r="90" spans="1:31" s="537" customFormat="1">
      <c r="A90" s="1"/>
      <c r="B90" s="697"/>
      <c r="E90" s="700"/>
      <c r="F90" s="699"/>
      <c r="G90" s="699"/>
      <c r="H90" s="699"/>
      <c r="I90" s="699"/>
      <c r="J90" s="699"/>
      <c r="K90" s="699"/>
      <c r="L90" s="699"/>
      <c r="M90" s="699"/>
      <c r="N90" s="699"/>
      <c r="O90" s="699"/>
      <c r="P90" s="699"/>
      <c r="Q90" s="699"/>
      <c r="Z90" s="548"/>
    </row>
    <row r="91" spans="1:31" ht="49.5" customHeight="1">
      <c r="B91" s="697"/>
      <c r="C91" s="537"/>
      <c r="D91" s="537"/>
      <c r="E91" s="700"/>
      <c r="F91" s="699"/>
      <c r="G91" s="699"/>
      <c r="H91" s="699"/>
      <c r="I91" s="699"/>
      <c r="J91" s="699"/>
      <c r="K91" s="699"/>
      <c r="L91" s="699"/>
      <c r="M91" s="699"/>
      <c r="N91" s="699"/>
      <c r="O91" s="699"/>
      <c r="P91" s="699"/>
      <c r="Q91" s="699"/>
      <c r="R91" s="537"/>
      <c r="S91" s="537"/>
      <c r="T91" s="537"/>
      <c r="U91" s="537"/>
      <c r="V91" s="537"/>
      <c r="W91" s="537"/>
      <c r="X91" s="537"/>
      <c r="Y91" s="537"/>
      <c r="Z91" s="548"/>
      <c r="AA91" s="537"/>
      <c r="AB91" s="537"/>
      <c r="AC91" s="537"/>
      <c r="AD91" s="537"/>
      <c r="AE91" s="537"/>
    </row>
    <row r="92" spans="1:31">
      <c r="B92" s="537"/>
      <c r="C92" s="537"/>
      <c r="D92" s="537"/>
      <c r="E92" s="700"/>
      <c r="F92" s="702"/>
      <c r="G92" s="702"/>
      <c r="H92" s="702"/>
      <c r="I92" s="702"/>
      <c r="J92" s="702"/>
      <c r="K92" s="702"/>
      <c r="L92" s="700"/>
      <c r="M92" s="537"/>
      <c r="N92" s="537"/>
      <c r="O92" s="700"/>
      <c r="P92" s="537"/>
      <c r="Q92" s="537"/>
      <c r="R92" s="537"/>
      <c r="S92" s="537"/>
      <c r="T92" s="537"/>
      <c r="U92" s="537"/>
      <c r="V92" s="537"/>
      <c r="W92" s="537"/>
      <c r="X92" s="537"/>
      <c r="Y92" s="537"/>
      <c r="Z92" s="548"/>
      <c r="AA92" s="537"/>
      <c r="AB92" s="537"/>
      <c r="AC92" s="537"/>
      <c r="AD92" s="537"/>
      <c r="AE92" s="537"/>
    </row>
    <row r="93" spans="1:31" ht="15.75" customHeight="1">
      <c r="F93" s="703"/>
      <c r="G93" s="703"/>
      <c r="H93" s="703"/>
      <c r="I93" s="703"/>
      <c r="J93" s="703"/>
      <c r="K93" s="703"/>
      <c r="L93" s="703"/>
      <c r="M93" s="703"/>
      <c r="N93" s="703"/>
      <c r="O93" s="703"/>
      <c r="P93" s="703"/>
      <c r="Q93" s="703"/>
    </row>
    <row r="94" spans="1:31">
      <c r="F94" s="703"/>
      <c r="G94" s="703"/>
      <c r="H94" s="703"/>
      <c r="I94" s="703"/>
      <c r="J94" s="703"/>
      <c r="K94" s="703"/>
    </row>
    <row r="95" spans="1:31">
      <c r="F95" s="704"/>
      <c r="G95" s="704"/>
      <c r="H95" s="704"/>
      <c r="I95" s="704"/>
      <c r="J95" s="704"/>
      <c r="K95" s="704"/>
      <c r="L95" s="704"/>
      <c r="M95" s="704"/>
      <c r="N95" s="704"/>
      <c r="O95" s="704"/>
      <c r="P95" s="704"/>
      <c r="Q95" s="704"/>
    </row>
    <row r="96" spans="1:31">
      <c r="F96" s="704"/>
      <c r="G96" s="704"/>
      <c r="H96" s="704"/>
      <c r="I96" s="704"/>
      <c r="J96" s="704"/>
      <c r="K96" s="704"/>
      <c r="L96" s="704"/>
      <c r="M96" s="704"/>
      <c r="N96" s="704"/>
      <c r="O96" s="704"/>
      <c r="P96" s="704"/>
      <c r="Q96" s="704"/>
    </row>
    <row r="97" spans="6:17">
      <c r="F97" s="704"/>
      <c r="G97" s="704"/>
      <c r="H97" s="704"/>
      <c r="I97" s="704"/>
      <c r="J97" s="704"/>
      <c r="K97" s="704"/>
      <c r="L97" s="704"/>
      <c r="M97" s="704"/>
      <c r="N97" s="704"/>
      <c r="O97" s="704"/>
      <c r="P97" s="704"/>
      <c r="Q97" s="704"/>
    </row>
    <row r="98" spans="6:17">
      <c r="F98" s="704"/>
      <c r="G98" s="704"/>
      <c r="H98" s="704"/>
      <c r="I98" s="704"/>
      <c r="J98" s="704"/>
      <c r="K98" s="704"/>
      <c r="L98" s="704"/>
      <c r="M98" s="704"/>
      <c r="N98" s="704"/>
      <c r="O98" s="704"/>
      <c r="P98" s="704"/>
      <c r="Q98" s="704"/>
    </row>
    <row r="99" spans="6:17">
      <c r="F99" s="704"/>
      <c r="G99" s="704"/>
      <c r="H99" s="704"/>
      <c r="I99" s="704"/>
      <c r="J99" s="704"/>
      <c r="K99" s="704"/>
      <c r="L99" s="704"/>
      <c r="M99" s="704"/>
      <c r="N99" s="704"/>
      <c r="O99" s="704"/>
      <c r="P99" s="704"/>
      <c r="Q99" s="704"/>
    </row>
    <row r="100" spans="6:17">
      <c r="F100" s="704"/>
      <c r="G100" s="704"/>
      <c r="H100" s="704"/>
      <c r="I100" s="704"/>
      <c r="J100" s="704"/>
      <c r="K100" s="704"/>
      <c r="L100" s="704"/>
      <c r="M100" s="704"/>
      <c r="N100" s="704"/>
      <c r="O100" s="704"/>
      <c r="P100" s="704"/>
      <c r="Q100" s="704"/>
    </row>
    <row r="101" spans="6:17">
      <c r="F101" s="704"/>
      <c r="G101" s="704"/>
      <c r="H101" s="704"/>
      <c r="I101" s="704"/>
      <c r="J101" s="704"/>
      <c r="K101" s="704"/>
      <c r="L101" s="704"/>
      <c r="M101" s="704"/>
      <c r="N101" s="704"/>
      <c r="O101" s="704"/>
      <c r="P101" s="704"/>
      <c r="Q101" s="704"/>
    </row>
    <row r="102" spans="6:17">
      <c r="F102" s="704"/>
      <c r="G102" s="704"/>
      <c r="H102" s="704"/>
      <c r="I102" s="704"/>
      <c r="J102" s="704"/>
      <c r="K102" s="704"/>
      <c r="L102" s="704"/>
      <c r="M102" s="704"/>
      <c r="N102" s="704"/>
      <c r="O102" s="704"/>
      <c r="P102" s="704"/>
      <c r="Q102" s="704"/>
    </row>
    <row r="103" spans="6:17">
      <c r="F103" s="704"/>
      <c r="G103" s="704"/>
      <c r="H103" s="704"/>
      <c r="I103" s="704"/>
      <c r="J103" s="704"/>
      <c r="K103" s="704"/>
      <c r="L103" s="704"/>
      <c r="M103" s="704"/>
      <c r="N103" s="704"/>
      <c r="O103" s="704"/>
      <c r="P103" s="704"/>
      <c r="Q103" s="704"/>
    </row>
    <row r="104" spans="6:17">
      <c r="F104" s="705"/>
      <c r="G104" s="705"/>
      <c r="H104" s="705"/>
      <c r="I104" s="705"/>
      <c r="J104" s="705"/>
      <c r="K104" s="705"/>
      <c r="L104" s="705"/>
      <c r="M104" s="705"/>
      <c r="N104" s="705"/>
      <c r="O104" s="705"/>
      <c r="P104" s="705"/>
      <c r="Q104" s="705"/>
    </row>
    <row r="105" spans="6:17">
      <c r="F105" s="705"/>
      <c r="G105" s="705"/>
      <c r="H105" s="705"/>
      <c r="I105" s="705"/>
      <c r="J105" s="705"/>
      <c r="K105" s="705"/>
      <c r="L105" s="705"/>
      <c r="M105" s="705"/>
      <c r="N105" s="705"/>
      <c r="O105" s="705"/>
      <c r="P105" s="705"/>
      <c r="Q105" s="705"/>
    </row>
  </sheetData>
  <mergeCells count="14">
    <mergeCell ref="A1:AC1"/>
    <mergeCell ref="A3:AC3"/>
    <mergeCell ref="A4:AC4"/>
    <mergeCell ref="M9:N9"/>
    <mergeCell ref="C7:C8"/>
    <mergeCell ref="S8:T8"/>
    <mergeCell ref="M7:W7"/>
    <mergeCell ref="M8:N8"/>
    <mergeCell ref="V9:W9"/>
    <mergeCell ref="P8:Q8"/>
    <mergeCell ref="P9:Q9"/>
    <mergeCell ref="V8:W8"/>
    <mergeCell ref="Y9:Z9"/>
    <mergeCell ref="S9:T9"/>
  </mergeCells>
  <phoneticPr fontId="0" type="noConversion"/>
  <pageMargins left="0.5" right="0.5" top="0.75" bottom="0.5" header="0.22" footer="0.26"/>
  <pageSetup scale="40" orientation="landscape"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24"/>
  <dimension ref="A1:AG123"/>
  <sheetViews>
    <sheetView zoomScale="70" zoomScaleNormal="70" zoomScaleSheetLayoutView="25" workbookViewId="0">
      <pane ySplit="10" topLeftCell="A11" activePane="bottomLeft" state="frozen"/>
      <selection pane="bottomLeft" sqref="A1:Q1"/>
    </sheetView>
  </sheetViews>
  <sheetFormatPr defaultColWidth="8.88671875" defaultRowHeight="15.75"/>
  <cols>
    <col min="1" max="1" width="26.77734375" style="1" customWidth="1"/>
    <col min="2" max="2" width="10.88671875" style="2" customWidth="1"/>
    <col min="3" max="3" width="20.88671875" style="2" customWidth="1"/>
    <col min="4" max="7" width="12.88671875" style="2" customWidth="1"/>
    <col min="8" max="8" width="2.109375" style="2" customWidth="1"/>
    <col min="9" max="10" width="15.44140625" style="2" customWidth="1"/>
    <col min="11" max="11" width="15.88671875" style="2" customWidth="1"/>
    <col min="12" max="12" width="2.33203125" style="1" customWidth="1"/>
    <col min="13" max="13" width="14.6640625" style="1" customWidth="1"/>
    <col min="14" max="14" width="19.6640625" style="1" customWidth="1"/>
    <col min="15" max="15" width="14.88671875" style="1" customWidth="1"/>
    <col min="16" max="16" width="13.21875" style="2" customWidth="1"/>
    <col min="17" max="17" width="11.109375" style="2" customWidth="1"/>
    <col min="18" max="18" width="12.88671875" style="2" customWidth="1"/>
    <col min="19" max="19" width="11.88671875" style="1" customWidth="1"/>
    <col min="20" max="20" width="9.33203125" style="1" customWidth="1"/>
    <col min="21" max="21" width="8.5546875" style="1" bestFit="1" customWidth="1"/>
    <col min="22" max="22" width="10.88671875" style="1" bestFit="1" customWidth="1"/>
    <col min="23" max="23" width="17.21875" style="1" bestFit="1" customWidth="1"/>
    <col min="24" max="24" width="15.88671875" style="1" bestFit="1" customWidth="1"/>
    <col min="25" max="27" width="12.88671875" style="1" customWidth="1"/>
    <col min="28" max="28" width="14.6640625" style="1" bestFit="1" customWidth="1"/>
    <col min="29" max="30" width="12.88671875" style="1" customWidth="1"/>
    <col min="31" max="31" width="11.6640625" style="1" customWidth="1"/>
    <col min="32" max="32" width="12.21875" style="1" customWidth="1"/>
    <col min="33" max="33" width="10.5546875" style="1" customWidth="1"/>
    <col min="34" max="34" width="11.88671875" style="1" customWidth="1"/>
    <col min="35" max="16384" width="8.88671875" style="1"/>
  </cols>
  <sheetData>
    <row r="1" spans="1:33" ht="16.5">
      <c r="A1" s="961" t="s">
        <v>585</v>
      </c>
      <c r="B1" s="961"/>
      <c r="C1" s="961"/>
      <c r="D1" s="961"/>
      <c r="E1" s="961"/>
      <c r="F1" s="961"/>
      <c r="G1" s="961"/>
      <c r="H1" s="961"/>
      <c r="I1" s="961"/>
      <c r="J1" s="961"/>
      <c r="K1" s="961"/>
      <c r="L1" s="961"/>
      <c r="M1" s="961"/>
      <c r="N1" s="961"/>
      <c r="O1" s="961"/>
      <c r="P1" s="961"/>
      <c r="Q1" s="961"/>
      <c r="R1" s="288"/>
      <c r="S1" s="954"/>
      <c r="T1" s="954"/>
      <c r="U1" s="954"/>
      <c r="V1" s="954"/>
      <c r="W1" s="954"/>
      <c r="X1" s="954"/>
      <c r="Y1" s="954"/>
      <c r="Z1" s="954"/>
      <c r="AA1" s="954"/>
      <c r="AB1" s="954"/>
      <c r="AC1" s="954"/>
      <c r="AD1" s="954"/>
      <c r="AE1" s="954"/>
      <c r="AF1" s="954"/>
      <c r="AG1" s="287"/>
    </row>
    <row r="2" spans="1:33" ht="13.5" customHeight="1">
      <c r="A2" s="272"/>
      <c r="B2" s="1"/>
      <c r="Q2" s="1"/>
      <c r="R2" s="1"/>
      <c r="S2" s="2"/>
      <c r="T2" s="2"/>
      <c r="U2" s="2"/>
      <c r="V2" s="2"/>
      <c r="W2" s="2"/>
      <c r="X2" s="2"/>
      <c r="Y2" s="2"/>
      <c r="Z2" s="2"/>
      <c r="AA2" s="2"/>
      <c r="AD2" s="2"/>
      <c r="AG2" s="2"/>
    </row>
    <row r="3" spans="1:33" ht="16.5">
      <c r="A3" s="961" t="s">
        <v>211</v>
      </c>
      <c r="B3" s="961"/>
      <c r="C3" s="961"/>
      <c r="D3" s="961"/>
      <c r="E3" s="961"/>
      <c r="F3" s="961"/>
      <c r="G3" s="961"/>
      <c r="H3" s="961"/>
      <c r="I3" s="961"/>
      <c r="J3" s="961"/>
      <c r="K3" s="961"/>
      <c r="L3" s="961"/>
      <c r="M3" s="961"/>
      <c r="N3" s="961"/>
      <c r="O3" s="961"/>
      <c r="P3" s="961"/>
      <c r="Q3" s="961"/>
      <c r="R3" s="288"/>
      <c r="S3" s="643"/>
      <c r="T3" s="643"/>
      <c r="U3" s="961" t="s">
        <v>956</v>
      </c>
      <c r="V3" s="961"/>
      <c r="W3" s="961"/>
      <c r="X3" s="961"/>
      <c r="Y3" s="643"/>
      <c r="Z3" s="643"/>
      <c r="AA3" s="643"/>
      <c r="AB3" s="643"/>
      <c r="AC3" s="643"/>
      <c r="AD3" s="643"/>
      <c r="AE3" s="643"/>
      <c r="AF3" s="643"/>
      <c r="AG3" s="287"/>
    </row>
    <row r="4" spans="1:33">
      <c r="A4" s="288"/>
      <c r="B4" s="288"/>
      <c r="C4" s="288"/>
      <c r="D4" s="288"/>
      <c r="E4" s="288"/>
      <c r="F4" s="288"/>
      <c r="G4" s="288"/>
      <c r="H4" s="288"/>
      <c r="I4" s="288"/>
      <c r="J4" s="288"/>
      <c r="K4" s="288"/>
      <c r="L4" s="288"/>
      <c r="M4" s="288"/>
      <c r="N4" s="288"/>
      <c r="O4" s="288"/>
      <c r="P4" s="288"/>
      <c r="Q4" s="288"/>
      <c r="R4" s="288"/>
      <c r="S4" s="288"/>
      <c r="T4" s="288"/>
      <c r="U4" s="962" t="s">
        <v>955</v>
      </c>
      <c r="V4" s="962"/>
      <c r="W4" s="963" t="s">
        <v>87</v>
      </c>
      <c r="X4" s="963"/>
      <c r="Y4" s="288"/>
      <c r="Z4" s="288"/>
      <c r="AA4" s="288"/>
      <c r="AB4" s="288"/>
      <c r="AC4" s="288"/>
      <c r="AD4" s="288"/>
      <c r="AE4" s="288"/>
      <c r="AF4" s="288"/>
      <c r="AG4" s="287"/>
    </row>
    <row r="5" spans="1:33" ht="15.6" customHeight="1">
      <c r="A5" s="955" t="str">
        <f>+'WP-1 - Summary Depr'!A5:P5</f>
        <v>In Support of Tariff 8 effective April 1, 2025</v>
      </c>
      <c r="B5" s="961"/>
      <c r="C5" s="961"/>
      <c r="D5" s="961"/>
      <c r="E5" s="961"/>
      <c r="F5" s="961"/>
      <c r="G5" s="961"/>
      <c r="H5" s="961"/>
      <c r="I5" s="961"/>
      <c r="J5" s="961"/>
      <c r="K5" s="961"/>
      <c r="L5" s="961"/>
      <c r="M5" s="961"/>
      <c r="N5" s="961"/>
      <c r="O5" s="961"/>
      <c r="P5" s="961"/>
      <c r="Q5" s="961"/>
      <c r="R5" s="288"/>
      <c r="S5" s="287"/>
      <c r="T5" s="287"/>
      <c r="U5" s="288"/>
      <c r="V5" s="288"/>
      <c r="W5" s="598">
        <f>1.2055-0.2748</f>
        <v>0.93070000000000008</v>
      </c>
      <c r="X5" s="598" t="s">
        <v>880</v>
      </c>
      <c r="Y5" s="287"/>
      <c r="Z5" s="287"/>
      <c r="AA5" s="287"/>
      <c r="AB5" s="287"/>
      <c r="AC5" s="287"/>
      <c r="AD5" s="287"/>
      <c r="AE5" s="287"/>
      <c r="AF5" s="287"/>
      <c r="AG5" s="287"/>
    </row>
    <row r="6" spans="1:33" ht="15.75" customHeight="1">
      <c r="B6" s="280"/>
      <c r="C6" s="280"/>
      <c r="D6" s="280"/>
      <c r="E6" s="280"/>
      <c r="F6" s="280"/>
      <c r="G6" s="280"/>
      <c r="H6" s="280"/>
      <c r="I6" s="280"/>
      <c r="J6" s="280"/>
      <c r="K6" s="280"/>
      <c r="L6" s="280"/>
      <c r="M6" s="955"/>
      <c r="N6" s="955"/>
      <c r="O6" s="308"/>
      <c r="P6" s="288"/>
      <c r="Q6" s="288"/>
      <c r="R6" s="288"/>
      <c r="S6" s="288"/>
      <c r="T6" s="288"/>
      <c r="U6" s="539" t="s">
        <v>180</v>
      </c>
      <c r="V6" s="1">
        <v>72800</v>
      </c>
      <c r="W6" s="598">
        <f>2.1214-0.3567</f>
        <v>1.7646999999999999</v>
      </c>
      <c r="X6" s="599" t="s">
        <v>881</v>
      </c>
      <c r="Y6" s="288"/>
      <c r="Z6" s="288"/>
      <c r="AA6" s="288"/>
      <c r="AB6" s="288"/>
      <c r="AC6" s="287"/>
    </row>
    <row r="7" spans="1:33" ht="15.75" customHeight="1">
      <c r="A7" s="276"/>
      <c r="B7" s="525"/>
      <c r="C7" s="525"/>
      <c r="D7" s="525"/>
      <c r="E7" s="960" t="s">
        <v>390</v>
      </c>
      <c r="F7" s="960"/>
      <c r="G7" s="960"/>
      <c r="H7" s="525"/>
      <c r="I7" s="1"/>
      <c r="J7" s="1"/>
      <c r="K7" s="4" t="s">
        <v>80</v>
      </c>
      <c r="M7" s="2"/>
      <c r="N7" s="2"/>
      <c r="O7" s="2"/>
      <c r="P7" s="1"/>
      <c r="Q7" s="1"/>
      <c r="R7" s="1"/>
      <c r="U7" s="539" t="s">
        <v>181</v>
      </c>
      <c r="V7" s="598">
        <v>3.7000000000000002E-3</v>
      </c>
      <c r="W7" s="598">
        <f>0.1969-0.0917</f>
        <v>0.10519999999999999</v>
      </c>
      <c r="X7" s="599" t="s">
        <v>882</v>
      </c>
      <c r="Y7" s="285"/>
    </row>
    <row r="8" spans="1:33" ht="25.35" customHeight="1">
      <c r="A8" s="537"/>
      <c r="B8" s="535"/>
      <c r="C8" s="535"/>
      <c r="D8" s="535" t="s">
        <v>178</v>
      </c>
      <c r="E8" s="960"/>
      <c r="F8" s="960"/>
      <c r="G8" s="960"/>
      <c r="H8" s="535"/>
      <c r="I8" s="959"/>
      <c r="J8" s="959"/>
      <c r="K8" s="4" t="s">
        <v>405</v>
      </c>
      <c r="L8" s="3"/>
      <c r="M8" s="4" t="s">
        <v>386</v>
      </c>
      <c r="N8" s="4" t="s">
        <v>866</v>
      </c>
      <c r="O8" s="4" t="s">
        <v>865</v>
      </c>
      <c r="P8" s="536">
        <v>45658</v>
      </c>
      <c r="Q8" s="536">
        <v>45748</v>
      </c>
      <c r="R8" s="607" t="s">
        <v>887</v>
      </c>
      <c r="S8" s="4" t="s">
        <v>0</v>
      </c>
      <c r="T8" s="3"/>
    </row>
    <row r="9" spans="1:33">
      <c r="A9" s="3"/>
      <c r="B9" s="4" t="s">
        <v>75</v>
      </c>
      <c r="C9" s="4" t="s">
        <v>79</v>
      </c>
      <c r="D9" s="273" t="s">
        <v>90</v>
      </c>
      <c r="E9" s="273" t="s">
        <v>383</v>
      </c>
      <c r="F9" s="273" t="s">
        <v>385</v>
      </c>
      <c r="G9" s="273" t="s">
        <v>385</v>
      </c>
      <c r="H9" s="273"/>
      <c r="I9" s="928" t="s">
        <v>179</v>
      </c>
      <c r="J9" s="928"/>
      <c r="K9" s="4" t="s">
        <v>399</v>
      </c>
      <c r="L9" s="3"/>
      <c r="M9" s="4" t="s">
        <v>387</v>
      </c>
      <c r="N9" s="4" t="s">
        <v>388</v>
      </c>
      <c r="O9" s="4" t="s">
        <v>392</v>
      </c>
      <c r="P9" s="4" t="s">
        <v>80</v>
      </c>
      <c r="Q9" s="4" t="s">
        <v>82</v>
      </c>
      <c r="R9" s="4" t="s">
        <v>888</v>
      </c>
      <c r="S9" s="4" t="s">
        <v>82</v>
      </c>
      <c r="T9" s="4"/>
      <c r="U9" s="3"/>
      <c r="V9" s="4" t="s">
        <v>84</v>
      </c>
      <c r="W9" s="3"/>
      <c r="X9" s="4" t="s">
        <v>0</v>
      </c>
      <c r="Y9" s="4" t="s">
        <v>920</v>
      </c>
      <c r="Z9" s="4"/>
    </row>
    <row r="10" spans="1:33">
      <c r="A10" s="274" t="s">
        <v>1</v>
      </c>
      <c r="B10" s="274" t="s">
        <v>54</v>
      </c>
      <c r="C10" s="274" t="s">
        <v>18</v>
      </c>
      <c r="D10" s="274" t="s">
        <v>18</v>
      </c>
      <c r="E10" s="274" t="s">
        <v>384</v>
      </c>
      <c r="F10" s="274" t="s">
        <v>384</v>
      </c>
      <c r="G10" s="274" t="s">
        <v>384</v>
      </c>
      <c r="H10" s="4"/>
      <c r="I10" s="274" t="s">
        <v>2</v>
      </c>
      <c r="J10" s="274" t="s">
        <v>3</v>
      </c>
      <c r="K10" s="545" t="s">
        <v>400</v>
      </c>
      <c r="L10" s="3"/>
      <c r="M10" s="536">
        <v>45658</v>
      </c>
      <c r="N10" s="4" t="s">
        <v>987</v>
      </c>
      <c r="O10" s="4" t="s">
        <v>987</v>
      </c>
      <c r="P10" s="4" t="s">
        <v>81</v>
      </c>
      <c r="Q10" s="4" t="s">
        <v>4</v>
      </c>
      <c r="R10" s="4" t="s">
        <v>131</v>
      </c>
      <c r="S10" s="4" t="s">
        <v>4</v>
      </c>
      <c r="T10" s="4" t="s">
        <v>83</v>
      </c>
      <c r="U10" s="4" t="s">
        <v>86</v>
      </c>
      <c r="V10" s="4" t="s">
        <v>85</v>
      </c>
      <c r="W10" s="4" t="s">
        <v>87</v>
      </c>
      <c r="X10" s="4" t="s">
        <v>891</v>
      </c>
      <c r="Y10" s="4" t="s">
        <v>891</v>
      </c>
      <c r="Z10" s="4"/>
    </row>
    <row r="11" spans="1:33">
      <c r="A11" s="269">
        <f>+'WP-2 - Labor Analysis'!A11</f>
        <v>100</v>
      </c>
      <c r="B11" s="2" t="s">
        <v>77</v>
      </c>
      <c r="C11" s="2" t="s">
        <v>227</v>
      </c>
      <c r="D11" s="549">
        <v>70.096299999999999</v>
      </c>
      <c r="E11" s="549"/>
      <c r="F11" s="549"/>
      <c r="G11" s="549"/>
      <c r="I11" s="270">
        <f>+'WP-2 - Labor Analysis'!Y11</f>
        <v>2080</v>
      </c>
      <c r="J11" s="270">
        <f>+'WP-2 - Labor Analysis'!Z11</f>
        <v>145800.20000000001</v>
      </c>
      <c r="K11" s="270"/>
      <c r="M11" s="540">
        <f>+D11</f>
        <v>70.096299999999999</v>
      </c>
      <c r="N11" s="2">
        <f>(IF(I11&gt;2080,2080*M11,I11*M11))</f>
        <v>145800.304</v>
      </c>
      <c r="O11" s="2"/>
      <c r="P11" s="270">
        <f>SUM(N11:N11)</f>
        <v>145800.304</v>
      </c>
      <c r="Q11" s="270"/>
      <c r="R11" s="270">
        <f>+P11+Q11</f>
        <v>145800.304</v>
      </c>
      <c r="S11" s="270">
        <f>R11-J11</f>
        <v>0.10399999999208376</v>
      </c>
      <c r="T11" s="270">
        <f>+P11*0.0765</f>
        <v>11153.723255999999</v>
      </c>
      <c r="U11" s="270">
        <f>IF(P11&gt;7000,7000*0.006,P11*0.006)</f>
        <v>42</v>
      </c>
      <c r="V11" s="270">
        <v>0</v>
      </c>
      <c r="W11" s="270">
        <v>0</v>
      </c>
      <c r="X11" s="270">
        <f>+T11+U11+W11+V11</f>
        <v>11195.723255999999</v>
      </c>
    </row>
    <row r="12" spans="1:33">
      <c r="A12" s="275" t="str">
        <f>+'WP-2 - Labor Analysis'!A12</f>
        <v>OFFICERS</v>
      </c>
      <c r="B12" s="4"/>
      <c r="C12" s="4"/>
      <c r="D12" s="549"/>
      <c r="E12" s="549"/>
      <c r="F12" s="549"/>
      <c r="G12" s="550"/>
      <c r="H12" s="4"/>
      <c r="I12" s="573">
        <f>SUM(I11:I11)</f>
        <v>2080</v>
      </c>
      <c r="J12" s="573">
        <f>SUM(J11:J11)</f>
        <v>145800.20000000001</v>
      </c>
      <c r="K12" s="270"/>
      <c r="M12" s="540"/>
      <c r="N12" s="600"/>
      <c r="O12" s="600"/>
      <c r="P12" s="574">
        <f>SUM(P11:P11)</f>
        <v>145800.304</v>
      </c>
      <c r="Q12" s="279"/>
      <c r="R12" s="574">
        <f t="shared" ref="R12:X12" si="0">SUM(R11:R11)</f>
        <v>145800.304</v>
      </c>
      <c r="S12" s="574">
        <f t="shared" si="0"/>
        <v>0.10399999999208376</v>
      </c>
      <c r="T12" s="574">
        <f t="shared" si="0"/>
        <v>11153.723255999999</v>
      </c>
      <c r="U12" s="574">
        <f t="shared" si="0"/>
        <v>42</v>
      </c>
      <c r="V12" s="574">
        <f t="shared" si="0"/>
        <v>0</v>
      </c>
      <c r="W12" s="574">
        <f t="shared" si="0"/>
        <v>0</v>
      </c>
      <c r="X12" s="574">
        <f t="shared" si="0"/>
        <v>11195.723255999999</v>
      </c>
      <c r="Y12" s="1">
        <f>+X12*'WP-11 - Non-Regulated'!$K$40</f>
        <v>6201.5460226711939</v>
      </c>
      <c r="AC12" s="282"/>
    </row>
    <row r="13" spans="1:33">
      <c r="A13" s="269"/>
      <c r="B13" s="4"/>
      <c r="C13" s="4"/>
      <c r="D13" s="549"/>
      <c r="E13" s="549"/>
      <c r="F13" s="549"/>
      <c r="G13" s="550"/>
      <c r="H13" s="4"/>
      <c r="I13" s="270"/>
      <c r="J13" s="270"/>
      <c r="K13" s="270"/>
      <c r="M13" s="540"/>
      <c r="N13" s="600"/>
      <c r="O13" s="600"/>
      <c r="P13" s="270"/>
      <c r="Q13" s="270"/>
      <c r="R13" s="270"/>
      <c r="S13" s="270"/>
      <c r="T13" s="270"/>
      <c r="U13" s="270"/>
      <c r="V13" s="270"/>
      <c r="W13" s="270"/>
      <c r="X13" s="270"/>
    </row>
    <row r="14" spans="1:33">
      <c r="A14" s="269">
        <v>17</v>
      </c>
      <c r="B14" s="2" t="s">
        <v>76</v>
      </c>
      <c r="C14" s="2" t="s">
        <v>78</v>
      </c>
      <c r="D14" s="549" t="s">
        <v>798</v>
      </c>
      <c r="E14" s="549"/>
      <c r="F14" s="549"/>
      <c r="G14" s="549">
        <v>38.461500000000001</v>
      </c>
      <c r="I14" s="270"/>
      <c r="J14" s="270"/>
      <c r="K14" s="270">
        <f>400/(5/26)</f>
        <v>2080</v>
      </c>
      <c r="M14" s="540">
        <f>G14</f>
        <v>38.461500000000001</v>
      </c>
      <c r="N14" s="2">
        <f>(IF(K14&gt;2080,2080*M14,K14*M14))</f>
        <v>79999.92</v>
      </c>
      <c r="O14" s="2">
        <f>IF(K14&gt;2080,(+K14-2080)*1.5*M14,0)</f>
        <v>0</v>
      </c>
      <c r="P14" s="270">
        <f t="shared" ref="P14" si="1">+N14+O14</f>
        <v>79999.92</v>
      </c>
      <c r="Q14" s="270">
        <v>2400</v>
      </c>
      <c r="R14" s="270">
        <f>+P14+Q14</f>
        <v>82399.92</v>
      </c>
      <c r="S14" s="270">
        <f t="shared" ref="S14" si="2">R14-J14</f>
        <v>82399.92</v>
      </c>
      <c r="T14" s="270">
        <f t="shared" ref="T14:T21" si="3">+P14*0.0765</f>
        <v>6119.99388</v>
      </c>
      <c r="U14" s="270">
        <f t="shared" ref="U14:U21" si="4">IF(P14&gt;7000,7000*0.006,P14*0.006)</f>
        <v>42</v>
      </c>
      <c r="V14" s="270">
        <f>IF(R14&gt;$V$6,$V$6*$V$7,+R14*$V$7)</f>
        <v>269.36</v>
      </c>
      <c r="W14" s="270">
        <f>$W$7*K14</f>
        <v>218.81599999999997</v>
      </c>
      <c r="X14" s="270">
        <f t="shared" ref="X14" si="5">+T14+U14+W14+V14</f>
        <v>6650.1698799999995</v>
      </c>
    </row>
    <row r="15" spans="1:33">
      <c r="A15" s="269">
        <f>+'WP-2 - Labor Analysis'!A14</f>
        <v>10</v>
      </c>
      <c r="B15" s="2" t="s">
        <v>76</v>
      </c>
      <c r="C15" s="2" t="s">
        <v>78</v>
      </c>
      <c r="D15" s="549">
        <v>41.009599999999999</v>
      </c>
      <c r="E15" s="549">
        <v>44.4953</v>
      </c>
      <c r="F15" s="549"/>
      <c r="G15" s="549">
        <v>50</v>
      </c>
      <c r="I15" s="270">
        <f>+'WP-2 - Labor Analysis'!Y14</f>
        <v>2347.36</v>
      </c>
      <c r="J15" s="270">
        <f>+'WP-2 - Labor Analysis'!Z14</f>
        <v>108212.3</v>
      </c>
      <c r="K15" s="270"/>
      <c r="M15" s="540">
        <f>+G15</f>
        <v>50</v>
      </c>
      <c r="N15" s="2">
        <f>(IF(I15&gt;2080,2080*M15,I15*M15))</f>
        <v>104000</v>
      </c>
      <c r="O15" s="2">
        <f>IF(I15&gt;2080,(+I15-2080)*1.5*M15,0)</f>
        <v>20052.000000000011</v>
      </c>
      <c r="P15" s="270">
        <f>+N15+O15</f>
        <v>124052.00000000001</v>
      </c>
      <c r="Q15" s="270">
        <v>2400</v>
      </c>
      <c r="R15" s="270">
        <f>+P15+Q15</f>
        <v>126452.00000000001</v>
      </c>
      <c r="S15" s="270">
        <f>R15-J15</f>
        <v>18239.700000000012</v>
      </c>
      <c r="T15" s="270">
        <f t="shared" si="3"/>
        <v>9489.978000000001</v>
      </c>
      <c r="U15" s="270">
        <f t="shared" si="4"/>
        <v>42</v>
      </c>
      <c r="V15" s="270">
        <f t="shared" ref="V15:V21" si="6">IF(R15&gt;$V$6,$V$6*$V$7,+R15*$V$7)</f>
        <v>269.36</v>
      </c>
      <c r="W15" s="270">
        <f>$W$5*I15</f>
        <v>2184.6879520000002</v>
      </c>
      <c r="X15" s="270">
        <f t="shared" ref="X15:X21" si="7">+T15+U15+W15+V15</f>
        <v>11986.025952000002</v>
      </c>
      <c r="AC15" s="282"/>
    </row>
    <row r="16" spans="1:33">
      <c r="A16" s="269">
        <f>+'WP-2 - Labor Analysis'!A15</f>
        <v>11</v>
      </c>
      <c r="B16" s="2" t="s">
        <v>76</v>
      </c>
      <c r="C16" s="2" t="s">
        <v>78</v>
      </c>
      <c r="D16" s="549">
        <v>26.081700000000001</v>
      </c>
      <c r="E16" s="549"/>
      <c r="F16" s="549"/>
      <c r="G16" s="549"/>
      <c r="I16" s="270">
        <f>+'WP-2 - Labor Analysis'!Y15</f>
        <v>1664</v>
      </c>
      <c r="J16" s="270">
        <f>+'WP-2 - Labor Analysis'!Z15</f>
        <v>43399.98</v>
      </c>
      <c r="K16" s="270"/>
      <c r="M16" s="540">
        <f>+D16</f>
        <v>26.081700000000001</v>
      </c>
      <c r="N16" s="2">
        <f t="shared" ref="N16:N26" si="8">(IF(I16&gt;2080,2080*M16,I16*M16))</f>
        <v>43399.948800000006</v>
      </c>
      <c r="O16" s="2">
        <f t="shared" ref="O16:O26" si="9">IF(I16&gt;2080,(+I16-2080)*1.5*M16,0)</f>
        <v>0</v>
      </c>
      <c r="P16" s="270">
        <f t="shared" ref="P16:P26" si="10">+N16+O16</f>
        <v>43399.948800000006</v>
      </c>
      <c r="Q16" s="270"/>
      <c r="R16" s="270">
        <f t="shared" ref="R16:R26" si="11">+P16+Q16</f>
        <v>43399.948800000006</v>
      </c>
      <c r="S16" s="270">
        <f>R16-J16</f>
        <v>-3.1199999997625127E-2</v>
      </c>
      <c r="T16" s="270">
        <f t="shared" si="3"/>
        <v>3320.0960832000005</v>
      </c>
      <c r="U16" s="270">
        <f t="shared" si="4"/>
        <v>42</v>
      </c>
      <c r="V16" s="270">
        <f t="shared" si="6"/>
        <v>160.57981056000003</v>
      </c>
      <c r="W16" s="270">
        <f>$W$7*I16</f>
        <v>175.05279999999999</v>
      </c>
      <c r="X16" s="270">
        <f t="shared" si="7"/>
        <v>3697.7286937600006</v>
      </c>
    </row>
    <row r="17" spans="1:26">
      <c r="A17" s="269">
        <f>+'WP-2 - Labor Analysis'!A16</f>
        <v>12</v>
      </c>
      <c r="B17" s="2" t="s">
        <v>76</v>
      </c>
      <c r="C17" s="2" t="s">
        <v>78</v>
      </c>
      <c r="D17" s="549">
        <v>27.980799999999999</v>
      </c>
      <c r="E17" s="549">
        <v>30.360600000000002</v>
      </c>
      <c r="F17" s="549"/>
      <c r="G17" s="549">
        <v>31.32</v>
      </c>
      <c r="I17" s="270">
        <f>+'WP-2 - Labor Analysis'!Y16</f>
        <v>2156.3000000000002</v>
      </c>
      <c r="J17" s="270">
        <f>+'WP-2 - Labor Analysis'!Z16</f>
        <v>66104.02</v>
      </c>
      <c r="K17" s="270"/>
      <c r="M17" s="540">
        <f>+G17</f>
        <v>31.32</v>
      </c>
      <c r="N17" s="2">
        <f t="shared" si="8"/>
        <v>65145.599999999999</v>
      </c>
      <c r="O17" s="2">
        <f t="shared" si="9"/>
        <v>3584.5740000000087</v>
      </c>
      <c r="P17" s="270">
        <f t="shared" si="10"/>
        <v>68730.174000000014</v>
      </c>
      <c r="Q17" s="270">
        <v>2400</v>
      </c>
      <c r="R17" s="270">
        <f t="shared" si="11"/>
        <v>71130.174000000014</v>
      </c>
      <c r="S17" s="270">
        <f t="shared" ref="S17:S26" si="12">R17-J17</f>
        <v>5026.1540000000095</v>
      </c>
      <c r="T17" s="270">
        <f t="shared" si="3"/>
        <v>5257.8583110000009</v>
      </c>
      <c r="U17" s="270">
        <f t="shared" si="4"/>
        <v>42</v>
      </c>
      <c r="V17" s="270">
        <f t="shared" si="6"/>
        <v>263.18164380000007</v>
      </c>
      <c r="W17" s="270">
        <f>$W$7*I17</f>
        <v>226.84276</v>
      </c>
      <c r="X17" s="270">
        <f t="shared" si="7"/>
        <v>5789.8827148000018</v>
      </c>
    </row>
    <row r="18" spans="1:26">
      <c r="A18" s="269">
        <f>+'WP-2 - Labor Analysis'!A17</f>
        <v>13</v>
      </c>
      <c r="B18" s="2" t="s">
        <v>76</v>
      </c>
      <c r="C18" s="2" t="s">
        <v>78</v>
      </c>
      <c r="D18" s="549">
        <v>17.739999999999998</v>
      </c>
      <c r="E18" s="549">
        <v>20.11</v>
      </c>
      <c r="F18" s="549">
        <v>20.68</v>
      </c>
      <c r="G18" s="549">
        <v>21.75</v>
      </c>
      <c r="I18" s="270">
        <f>+'WP-2 - Labor Analysis'!Y17</f>
        <v>2128.5300000000002</v>
      </c>
      <c r="J18" s="270">
        <f>+'WP-2 - Labor Analysis'!Z17</f>
        <v>42616.01</v>
      </c>
      <c r="K18" s="270"/>
      <c r="M18" s="540">
        <f t="shared" ref="M18:M21" si="13">+G18</f>
        <v>21.75</v>
      </c>
      <c r="N18" s="2">
        <f t="shared" si="8"/>
        <v>45240</v>
      </c>
      <c r="O18" s="2">
        <f t="shared" si="9"/>
        <v>1583.2912500000066</v>
      </c>
      <c r="P18" s="270">
        <f t="shared" si="10"/>
        <v>46823.291250000009</v>
      </c>
      <c r="Q18" s="270">
        <v>2400</v>
      </c>
      <c r="R18" s="270">
        <f t="shared" si="11"/>
        <v>49223.291250000009</v>
      </c>
      <c r="S18" s="270">
        <f t="shared" si="12"/>
        <v>6607.2812500000073</v>
      </c>
      <c r="T18" s="270">
        <f t="shared" si="3"/>
        <v>3581.9817806250007</v>
      </c>
      <c r="U18" s="270">
        <f t="shared" si="4"/>
        <v>42</v>
      </c>
      <c r="V18" s="270">
        <f t="shared" si="6"/>
        <v>182.12617762500005</v>
      </c>
      <c r="W18" s="270">
        <f>$W$7*I18</f>
        <v>223.921356</v>
      </c>
      <c r="X18" s="270">
        <f t="shared" si="7"/>
        <v>4030.0293142500004</v>
      </c>
    </row>
    <row r="19" spans="1:26">
      <c r="A19" s="269">
        <f>+'WP-2 - Labor Analysis'!A18</f>
        <v>14</v>
      </c>
      <c r="B19" s="2" t="s">
        <v>76</v>
      </c>
      <c r="C19" s="2" t="s">
        <v>78</v>
      </c>
      <c r="D19" s="549">
        <v>37.548099999999998</v>
      </c>
      <c r="E19" s="549">
        <v>40.7211</v>
      </c>
      <c r="F19" s="549"/>
      <c r="G19" s="549">
        <v>41.875</v>
      </c>
      <c r="I19" s="270">
        <f>+'WP-2 - Labor Analysis'!Y18</f>
        <v>2080.29</v>
      </c>
      <c r="J19" s="270">
        <f>+'WP-2 - Labor Analysis'!Z18</f>
        <v>84117.18</v>
      </c>
      <c r="K19" s="270"/>
      <c r="M19" s="540">
        <f t="shared" si="13"/>
        <v>41.875</v>
      </c>
      <c r="N19" s="2">
        <f t="shared" si="8"/>
        <v>87100</v>
      </c>
      <c r="O19" s="2">
        <f t="shared" si="9"/>
        <v>18.215624999997715</v>
      </c>
      <c r="P19" s="270">
        <f t="shared" si="10"/>
        <v>87118.215624999997</v>
      </c>
      <c r="Q19" s="270">
        <v>2400</v>
      </c>
      <c r="R19" s="270">
        <f t="shared" si="11"/>
        <v>89518.215624999997</v>
      </c>
      <c r="S19" s="270">
        <f t="shared" si="12"/>
        <v>5401.0356250000041</v>
      </c>
      <c r="T19" s="270">
        <f t="shared" si="3"/>
        <v>6664.5434953124995</v>
      </c>
      <c r="U19" s="270">
        <f t="shared" si="4"/>
        <v>42</v>
      </c>
      <c r="V19" s="270">
        <f t="shared" si="6"/>
        <v>269.36</v>
      </c>
      <c r="W19" s="270">
        <f t="shared" ref="W19:W21" si="14">$W$7*I19</f>
        <v>218.84650799999997</v>
      </c>
      <c r="X19" s="270">
        <f t="shared" si="7"/>
        <v>7194.7500033124988</v>
      </c>
    </row>
    <row r="20" spans="1:26">
      <c r="A20" s="269">
        <f>+'WP-2 - Labor Analysis'!A19</f>
        <v>15</v>
      </c>
      <c r="B20" s="2" t="s">
        <v>76</v>
      </c>
      <c r="C20" s="2" t="s">
        <v>78</v>
      </c>
      <c r="D20" s="549">
        <v>65.288499999999999</v>
      </c>
      <c r="E20" s="549">
        <v>67.596100000000007</v>
      </c>
      <c r="F20" s="549"/>
      <c r="G20" s="549">
        <v>69.040000000000006</v>
      </c>
      <c r="I20" s="270">
        <f>+'WP-2 - Labor Analysis'!Y19</f>
        <v>2300.71</v>
      </c>
      <c r="J20" s="270">
        <f>+'WP-2 - Labor Analysis'!Z19</f>
        <v>195049.49</v>
      </c>
      <c r="K20" s="270"/>
      <c r="M20" s="540">
        <f>+G20</f>
        <v>69.040000000000006</v>
      </c>
      <c r="N20" s="2">
        <f>(IF(I20&gt;2080,2080*M20,I20*M20))</f>
        <v>143603.20000000001</v>
      </c>
      <c r="O20" s="2">
        <f t="shared" si="9"/>
        <v>22856.727600000006</v>
      </c>
      <c r="P20" s="270">
        <f t="shared" si="10"/>
        <v>166459.92760000002</v>
      </c>
      <c r="Q20" s="270"/>
      <c r="R20" s="270">
        <f t="shared" si="11"/>
        <v>166459.92760000002</v>
      </c>
      <c r="S20" s="270">
        <f t="shared" si="12"/>
        <v>-28589.562399999966</v>
      </c>
      <c r="T20" s="270">
        <f t="shared" si="3"/>
        <v>12734.184461400002</v>
      </c>
      <c r="U20" s="270">
        <f t="shared" si="4"/>
        <v>42</v>
      </c>
      <c r="V20" s="270">
        <f t="shared" si="6"/>
        <v>269.36</v>
      </c>
      <c r="W20" s="270">
        <f t="shared" si="14"/>
        <v>242.03469199999998</v>
      </c>
      <c r="X20" s="270">
        <f t="shared" si="7"/>
        <v>13287.579153400002</v>
      </c>
    </row>
    <row r="21" spans="1:26">
      <c r="A21" s="269">
        <f>+'WP-2 - Labor Analysis'!A20</f>
        <v>16</v>
      </c>
      <c r="B21" s="2" t="s">
        <v>76</v>
      </c>
      <c r="C21" s="2" t="s">
        <v>78</v>
      </c>
      <c r="D21" s="549">
        <v>27.115400000000001</v>
      </c>
      <c r="E21" s="549">
        <v>29.423100000000002</v>
      </c>
      <c r="F21" s="549"/>
      <c r="G21" s="549">
        <v>30.38</v>
      </c>
      <c r="I21" s="270">
        <f>+'WP-2 - Labor Analysis'!Y20</f>
        <v>2137.12</v>
      </c>
      <c r="J21" s="270">
        <f>+'WP-2 - Labor Analysis'!Z20</f>
        <v>62696.61</v>
      </c>
      <c r="K21" s="270"/>
      <c r="M21" s="540">
        <f t="shared" si="13"/>
        <v>30.38</v>
      </c>
      <c r="N21" s="2">
        <f t="shared" si="8"/>
        <v>63190.400000000001</v>
      </c>
      <c r="O21" s="2">
        <f t="shared" si="9"/>
        <v>2602.958399999995</v>
      </c>
      <c r="P21" s="270">
        <f t="shared" si="10"/>
        <v>65793.358399999997</v>
      </c>
      <c r="Q21" s="270">
        <v>2400</v>
      </c>
      <c r="R21" s="270">
        <f t="shared" si="11"/>
        <v>68193.358399999997</v>
      </c>
      <c r="S21" s="270">
        <f t="shared" si="12"/>
        <v>5496.7483999999968</v>
      </c>
      <c r="T21" s="270">
        <f t="shared" si="3"/>
        <v>5033.1919176000001</v>
      </c>
      <c r="U21" s="270">
        <f t="shared" si="4"/>
        <v>42</v>
      </c>
      <c r="V21" s="270">
        <f t="shared" si="6"/>
        <v>252.31542608000001</v>
      </c>
      <c r="W21" s="270">
        <f t="shared" si="14"/>
        <v>224.82502399999996</v>
      </c>
      <c r="X21" s="270">
        <f t="shared" si="7"/>
        <v>5552.3323676800001</v>
      </c>
    </row>
    <row r="22" spans="1:26">
      <c r="A22" s="275" t="str">
        <f>+'WP-2 - Labor Analysis'!A21</f>
        <v>OFFICE/ADMIN</v>
      </c>
      <c r="D22" s="549"/>
      <c r="E22" s="549"/>
      <c r="F22" s="549"/>
      <c r="G22" s="549"/>
      <c r="I22" s="279">
        <f>SUM(I15:I21)</f>
        <v>14814.309999999998</v>
      </c>
      <c r="J22" s="279">
        <f>SUM(J15:J21)</f>
        <v>602195.59</v>
      </c>
      <c r="K22" s="270"/>
      <c r="M22" s="540"/>
      <c r="N22" s="2"/>
      <c r="O22" s="2"/>
      <c r="P22" s="279">
        <f>SUM(P14:P21)</f>
        <v>682376.8356750001</v>
      </c>
      <c r="Q22" s="279">
        <f>SUM(Q14:Q21)</f>
        <v>14400</v>
      </c>
      <c r="R22" s="279">
        <f t="shared" ref="R22:X22" si="15">SUM(R14:R21)</f>
        <v>696776.8356750001</v>
      </c>
      <c r="S22" s="279">
        <f t="shared" si="15"/>
        <v>94581.245675000071</v>
      </c>
      <c r="T22" s="279">
        <f t="shared" si="15"/>
        <v>52201.8279291375</v>
      </c>
      <c r="U22" s="279">
        <f t="shared" si="15"/>
        <v>336</v>
      </c>
      <c r="V22" s="279">
        <f t="shared" si="15"/>
        <v>1935.6430580650001</v>
      </c>
      <c r="W22" s="279">
        <f t="shared" si="15"/>
        <v>3715.0270919999998</v>
      </c>
      <c r="X22" s="279">
        <f t="shared" si="15"/>
        <v>58188.498079202502</v>
      </c>
      <c r="Y22" s="1">
        <f>+X22*0.8</f>
        <v>46550.798463362007</v>
      </c>
    </row>
    <row r="23" spans="1:26">
      <c r="A23" s="269"/>
      <c r="D23" s="549"/>
      <c r="E23" s="549"/>
      <c r="F23" s="549"/>
      <c r="G23" s="549"/>
      <c r="I23" s="270"/>
      <c r="J23" s="270"/>
      <c r="K23" s="270"/>
      <c r="M23" s="540"/>
      <c r="N23" s="2"/>
      <c r="O23" s="2"/>
      <c r="P23" s="270"/>
      <c r="Q23" s="270"/>
      <c r="R23" s="270"/>
      <c r="S23" s="270"/>
      <c r="T23" s="270"/>
      <c r="U23" s="270"/>
      <c r="V23" s="270"/>
      <c r="W23" s="270"/>
      <c r="X23" s="270"/>
    </row>
    <row r="24" spans="1:26">
      <c r="A24" s="269"/>
      <c r="D24" s="549"/>
      <c r="E24" s="549"/>
      <c r="F24" s="549"/>
      <c r="G24" s="549"/>
      <c r="I24" s="270"/>
      <c r="J24" s="270"/>
      <c r="K24" s="270"/>
      <c r="M24" s="540"/>
      <c r="N24" s="2"/>
      <c r="O24" s="2"/>
      <c r="P24" s="270"/>
      <c r="Q24" s="270"/>
      <c r="R24" s="270"/>
      <c r="S24" s="270"/>
      <c r="T24" s="270"/>
      <c r="U24" s="270"/>
      <c r="V24" s="270"/>
      <c r="W24" s="270"/>
      <c r="X24" s="270"/>
      <c r="Z24" s="634"/>
    </row>
    <row r="25" spans="1:26">
      <c r="A25" s="269">
        <f>+'WP-2 - Labor Analysis'!A24</f>
        <v>20</v>
      </c>
      <c r="B25" s="2" t="s">
        <v>76</v>
      </c>
      <c r="C25" s="2" t="s">
        <v>78</v>
      </c>
      <c r="D25" s="549">
        <v>25.76</v>
      </c>
      <c r="E25" s="549">
        <v>27.9496</v>
      </c>
      <c r="F25" s="549"/>
      <c r="G25" s="549">
        <v>29.5</v>
      </c>
      <c r="I25" s="270">
        <f>+'WP-2 - Labor Analysis'!Y24</f>
        <v>2115.2000000000003</v>
      </c>
      <c r="J25" s="270">
        <f>+'WP-2 - Labor Analysis'!Z24</f>
        <v>59198.63</v>
      </c>
      <c r="K25" s="270"/>
      <c r="M25" s="540">
        <f>+G25</f>
        <v>29.5</v>
      </c>
      <c r="N25" s="2">
        <f t="shared" si="8"/>
        <v>61360</v>
      </c>
      <c r="O25" s="2">
        <f t="shared" si="9"/>
        <v>1557.6000000000122</v>
      </c>
      <c r="P25" s="270">
        <f t="shared" si="10"/>
        <v>62917.600000000013</v>
      </c>
      <c r="Q25" s="270">
        <v>2400</v>
      </c>
      <c r="R25" s="270">
        <f t="shared" si="11"/>
        <v>65317.600000000013</v>
      </c>
      <c r="S25" s="270">
        <f t="shared" si="12"/>
        <v>6118.9700000000157</v>
      </c>
      <c r="T25" s="270">
        <f>+P25*0.0765</f>
        <v>4813.1964000000007</v>
      </c>
      <c r="U25" s="270">
        <f>IF(P25&gt;7000,7000*0.006,P25*0.006)</f>
        <v>42</v>
      </c>
      <c r="V25" s="270">
        <f t="shared" ref="V25:V26" si="16">IF(R25&gt;$V$6,$V$6*$V$7,+R25*$V$7)</f>
        <v>241.67512000000005</v>
      </c>
      <c r="W25" s="270">
        <f>$W$5*I25</f>
        <v>1968.6166400000004</v>
      </c>
      <c r="X25" s="270">
        <f>+T25+U25+W25+V25</f>
        <v>7065.4881600000008</v>
      </c>
      <c r="Z25" s="281"/>
    </row>
    <row r="26" spans="1:26">
      <c r="A26" s="269">
        <f>+'WP-2 - Labor Analysis'!A25</f>
        <v>21</v>
      </c>
      <c r="B26" s="2" t="s">
        <v>76</v>
      </c>
      <c r="C26" s="2" t="s">
        <v>78</v>
      </c>
      <c r="D26" s="549">
        <v>24.98</v>
      </c>
      <c r="E26" s="549">
        <v>27.103300000000001</v>
      </c>
      <c r="F26" s="549"/>
      <c r="G26" s="549">
        <v>28.454999999999998</v>
      </c>
      <c r="I26" s="270">
        <f>+'WP-2 - Labor Analysis'!Y25</f>
        <v>2189.2600000000002</v>
      </c>
      <c r="J26" s="270">
        <f>+'WP-2 - Labor Analysis'!Z25</f>
        <v>60264.85</v>
      </c>
      <c r="K26" s="270"/>
      <c r="M26" s="540">
        <f>+G26</f>
        <v>28.454999999999998</v>
      </c>
      <c r="N26" s="2">
        <f t="shared" si="8"/>
        <v>59186.399999999994</v>
      </c>
      <c r="O26" s="2">
        <f t="shared" si="9"/>
        <v>4663.4899500000092</v>
      </c>
      <c r="P26" s="278">
        <f t="shared" si="10"/>
        <v>63849.889950000004</v>
      </c>
      <c r="Q26" s="278">
        <v>2400</v>
      </c>
      <c r="R26" s="278">
        <f t="shared" si="11"/>
        <v>66249.889950000012</v>
      </c>
      <c r="S26" s="278">
        <f t="shared" si="12"/>
        <v>5985.0399500000131</v>
      </c>
      <c r="T26" s="278">
        <f>+P26*0.0765</f>
        <v>4884.5165811750003</v>
      </c>
      <c r="U26" s="278">
        <f>IF(P26&gt;7000,7000*0.006,P26*0.006)</f>
        <v>42</v>
      </c>
      <c r="V26" s="278">
        <f t="shared" si="16"/>
        <v>245.12459281500006</v>
      </c>
      <c r="W26" s="278">
        <f>$W$5*I26</f>
        <v>2037.5442820000003</v>
      </c>
      <c r="X26" s="278">
        <f>+T26+U26+W26+V26</f>
        <v>7209.1854559900003</v>
      </c>
    </row>
    <row r="27" spans="1:26">
      <c r="A27" s="275" t="s">
        <v>916</v>
      </c>
      <c r="D27" s="549"/>
      <c r="E27" s="549"/>
      <c r="F27" s="549"/>
      <c r="G27" s="549"/>
      <c r="I27" s="574">
        <f>SUM(I25:I26)</f>
        <v>4304.4600000000009</v>
      </c>
      <c r="J27" s="574">
        <f>SUM(J25:J26)</f>
        <v>119463.48</v>
      </c>
      <c r="K27" s="270"/>
      <c r="M27" s="540"/>
      <c r="N27" s="600"/>
      <c r="O27" s="600"/>
      <c r="P27" s="277">
        <f>SUM(P25:P26)</f>
        <v>126767.48995000002</v>
      </c>
      <c r="Q27" s="277">
        <f>SUM(Q25:Q26)</f>
        <v>4800</v>
      </c>
      <c r="R27" s="277">
        <f>SUM(R25:R26)</f>
        <v>131567.48995000002</v>
      </c>
      <c r="S27" s="277">
        <f t="shared" ref="S27:X27" si="17">SUM(S25:S26)</f>
        <v>12104.009950000029</v>
      </c>
      <c r="T27" s="277">
        <f t="shared" si="17"/>
        <v>9697.7129811750019</v>
      </c>
      <c r="U27" s="277">
        <f t="shared" si="17"/>
        <v>84</v>
      </c>
      <c r="V27" s="277">
        <f t="shared" si="17"/>
        <v>486.79971281500013</v>
      </c>
      <c r="W27" s="277">
        <f t="shared" si="17"/>
        <v>4006.1609220000009</v>
      </c>
      <c r="X27" s="277">
        <f t="shared" si="17"/>
        <v>14274.673615990001</v>
      </c>
      <c r="Y27" s="1">
        <f>+X27*'WP-11 - Non-Regulated'!$K$40</f>
        <v>7907.041230295682</v>
      </c>
    </row>
    <row r="28" spans="1:26">
      <c r="A28" s="269"/>
      <c r="D28" s="549"/>
      <c r="E28" s="549"/>
      <c r="F28" s="549"/>
      <c r="G28" s="549"/>
      <c r="I28" s="270"/>
      <c r="J28" s="270"/>
      <c r="K28" s="270"/>
      <c r="M28" s="540"/>
      <c r="N28" s="600"/>
      <c r="O28" s="600"/>
      <c r="P28" s="270"/>
      <c r="Q28" s="270"/>
      <c r="R28" s="270"/>
      <c r="S28" s="270"/>
      <c r="T28" s="270"/>
      <c r="U28" s="270"/>
      <c r="V28" s="270"/>
      <c r="W28" s="270"/>
      <c r="X28" s="270"/>
    </row>
    <row r="29" spans="1:26">
      <c r="A29" s="269">
        <f>+'WP-2 - Labor Analysis'!A28</f>
        <v>30</v>
      </c>
      <c r="B29" s="2" t="s">
        <v>76</v>
      </c>
      <c r="C29" s="2" t="s">
        <v>78</v>
      </c>
      <c r="D29" s="549">
        <v>26.5383</v>
      </c>
      <c r="E29" s="549">
        <v>28.798100000000002</v>
      </c>
      <c r="F29" s="549"/>
      <c r="G29" s="549">
        <v>30.192299999999999</v>
      </c>
      <c r="I29" s="270">
        <f>+'WP-2 - Labor Analysis'!Y28</f>
        <v>2372.23</v>
      </c>
      <c r="J29" s="270">
        <f>+'WP-2 - Labor Analysis'!Z28</f>
        <v>71266.28</v>
      </c>
      <c r="K29" s="270"/>
      <c r="M29" s="540">
        <f>+G29</f>
        <v>30.192299999999999</v>
      </c>
      <c r="N29" s="2">
        <f>(IF(I29&gt;2080,2080*M29,I29*M29))</f>
        <v>62799.983999999997</v>
      </c>
      <c r="O29" s="2">
        <f t="shared" ref="O29" si="18">IF(I29&gt;2080,(+I29-2080)*1.5*M29,0)</f>
        <v>13234.643743500001</v>
      </c>
      <c r="P29" s="270">
        <f>+N29+O29</f>
        <v>76034.627743499994</v>
      </c>
      <c r="Q29" s="270">
        <v>2400</v>
      </c>
      <c r="R29" s="270">
        <f>+P29+Q29</f>
        <v>78434.627743499994</v>
      </c>
      <c r="S29" s="270">
        <f>R29-J29</f>
        <v>7168.347743499995</v>
      </c>
      <c r="T29" s="270">
        <f t="shared" ref="T29:T55" si="19">P29*0.0765</f>
        <v>5816.6490223777491</v>
      </c>
      <c r="U29" s="270">
        <f t="shared" ref="U29:U55" si="20">IF(P29&gt;7000,7000*0.006,P29*0.006)</f>
        <v>42</v>
      </c>
      <c r="V29" s="270">
        <f>IF(R29&gt;$V$6,$V$6*$V$7,+R29*$V$7)</f>
        <v>269.36</v>
      </c>
      <c r="W29" s="270">
        <f>$W$6*I29</f>
        <v>4186.274281</v>
      </c>
      <c r="X29" s="270">
        <f t="shared" ref="X29:X55" si="21">+T29+U29+W29+V29</f>
        <v>10314.28330337775</v>
      </c>
    </row>
    <row r="30" spans="1:26">
      <c r="A30" s="269">
        <f>+'WP-2 - Labor Analysis'!A29</f>
        <v>31</v>
      </c>
      <c r="B30" s="2" t="s">
        <v>76</v>
      </c>
      <c r="C30" s="2" t="s">
        <v>78</v>
      </c>
      <c r="D30" s="549">
        <v>25.384599999999999</v>
      </c>
      <c r="E30" s="549">
        <v>27.548100000000002</v>
      </c>
      <c r="F30" s="549">
        <v>28.004799999999999</v>
      </c>
      <c r="G30" s="549">
        <v>30</v>
      </c>
      <c r="I30" s="270">
        <f>+'WP-2 - Labor Analysis'!Y29</f>
        <v>2337.86</v>
      </c>
      <c r="J30" s="270">
        <f>+'WP-2 - Labor Analysis'!Z29</f>
        <v>66577.350000000006</v>
      </c>
      <c r="K30" s="270"/>
      <c r="M30" s="540">
        <f t="shared" ref="M30:M33" si="22">+G30</f>
        <v>30</v>
      </c>
      <c r="N30" s="2">
        <f t="shared" ref="N30:N48" si="23">(IF(I30&gt;2080,2080*M30,I30*M30))</f>
        <v>62400</v>
      </c>
      <c r="O30" s="2">
        <f t="shared" ref="O30:O33" si="24">IF(I30&gt;2080,(+I30-2080)*1.5*M30,0)</f>
        <v>11603.700000000006</v>
      </c>
      <c r="P30" s="270">
        <f t="shared" ref="P30:P33" si="25">+N30+O30</f>
        <v>74003.700000000012</v>
      </c>
      <c r="Q30" s="270">
        <v>2400</v>
      </c>
      <c r="R30" s="270">
        <f t="shared" ref="R30:R55" si="26">+P30+Q30</f>
        <v>76403.700000000012</v>
      </c>
      <c r="S30" s="270">
        <f t="shared" ref="S30:S55" si="27">R30-J30</f>
        <v>9826.3500000000058</v>
      </c>
      <c r="T30" s="270">
        <f t="shared" si="19"/>
        <v>5661.2830500000009</v>
      </c>
      <c r="U30" s="270">
        <f t="shared" si="20"/>
        <v>42</v>
      </c>
      <c r="V30" s="270">
        <f t="shared" ref="V30:V55" si="28">IF(R30&gt;$V$6,$V$6*$V$7,+R30*$V$7)</f>
        <v>269.36</v>
      </c>
      <c r="W30" s="270">
        <f t="shared" ref="W30:W54" si="29">$W$6*I30</f>
        <v>4125.6215419999999</v>
      </c>
      <c r="X30" s="270">
        <f t="shared" si="21"/>
        <v>10098.264592000001</v>
      </c>
    </row>
    <row r="31" spans="1:26">
      <c r="A31" s="269">
        <f>+'WP-2 - Labor Analysis'!A30</f>
        <v>32</v>
      </c>
      <c r="B31" s="2" t="s">
        <v>76</v>
      </c>
      <c r="C31" s="2" t="s">
        <v>78</v>
      </c>
      <c r="D31" s="549">
        <v>32.884599999999999</v>
      </c>
      <c r="E31" s="549">
        <v>35.673099999999998</v>
      </c>
      <c r="F31" s="549"/>
      <c r="G31" s="549">
        <v>37.456800000000001</v>
      </c>
      <c r="I31" s="270">
        <f>+'WP-2 - Labor Analysis'!Y30</f>
        <v>2155.8500000000004</v>
      </c>
      <c r="J31" s="270">
        <f>+'WP-2 - Labor Analysis'!Z30</f>
        <v>77389.100000000006</v>
      </c>
      <c r="K31" s="270"/>
      <c r="M31" s="540">
        <f t="shared" si="22"/>
        <v>37.456800000000001</v>
      </c>
      <c r="N31" s="2">
        <f t="shared" si="23"/>
        <v>77910.144</v>
      </c>
      <c r="O31" s="2">
        <f t="shared" si="24"/>
        <v>4261.6474200000202</v>
      </c>
      <c r="P31" s="270">
        <f t="shared" si="25"/>
        <v>82171.791420000023</v>
      </c>
      <c r="Q31" s="270">
        <v>2400</v>
      </c>
      <c r="R31" s="270">
        <f t="shared" si="26"/>
        <v>84571.791420000023</v>
      </c>
      <c r="S31" s="270">
        <f t="shared" si="27"/>
        <v>7182.6914200000174</v>
      </c>
      <c r="T31" s="270">
        <f t="shared" si="19"/>
        <v>6286.1420436300014</v>
      </c>
      <c r="U31" s="270">
        <f t="shared" si="20"/>
        <v>42</v>
      </c>
      <c r="V31" s="270">
        <f t="shared" si="28"/>
        <v>269.36</v>
      </c>
      <c r="W31" s="270">
        <f t="shared" si="29"/>
        <v>3804.4284950000006</v>
      </c>
      <c r="X31" s="270">
        <f t="shared" si="21"/>
        <v>10401.930538630002</v>
      </c>
    </row>
    <row r="32" spans="1:26">
      <c r="A32" s="269">
        <f>+'WP-2 - Labor Analysis'!A31</f>
        <v>33</v>
      </c>
      <c r="B32" s="2" t="s">
        <v>76</v>
      </c>
      <c r="C32" s="2" t="s">
        <v>78</v>
      </c>
      <c r="D32" s="549">
        <v>34.759599999999999</v>
      </c>
      <c r="E32" s="549">
        <v>38.461500000000001</v>
      </c>
      <c r="F32" s="549"/>
      <c r="G32" s="549">
        <v>40.384599999999999</v>
      </c>
      <c r="I32" s="270">
        <f>+'WP-2 - Labor Analysis'!Y31</f>
        <v>2307.8200000000002</v>
      </c>
      <c r="J32" s="270">
        <f>+'WP-2 - Labor Analysis'!Z31</f>
        <v>91179.4</v>
      </c>
      <c r="K32" s="270"/>
      <c r="M32" s="540">
        <f t="shared" si="22"/>
        <v>40.384599999999999</v>
      </c>
      <c r="N32" s="2">
        <f t="shared" si="23"/>
        <v>83999.967999999993</v>
      </c>
      <c r="O32" s="2">
        <f t="shared" si="24"/>
        <v>13800.629358000009</v>
      </c>
      <c r="P32" s="270">
        <f t="shared" si="25"/>
        <v>97800.597357999999</v>
      </c>
      <c r="Q32" s="270">
        <v>2400</v>
      </c>
      <c r="R32" s="270">
        <f t="shared" si="26"/>
        <v>100200.597358</v>
      </c>
      <c r="S32" s="270">
        <f t="shared" si="27"/>
        <v>9021.1973580000049</v>
      </c>
      <c r="T32" s="270">
        <f t="shared" si="19"/>
        <v>7481.7456978869996</v>
      </c>
      <c r="U32" s="270">
        <f t="shared" si="20"/>
        <v>42</v>
      </c>
      <c r="V32" s="270">
        <f t="shared" si="28"/>
        <v>269.36</v>
      </c>
      <c r="W32" s="270">
        <f t="shared" si="29"/>
        <v>4072.609954</v>
      </c>
      <c r="X32" s="270">
        <f t="shared" si="21"/>
        <v>11865.715651887</v>
      </c>
    </row>
    <row r="33" spans="1:24">
      <c r="A33" s="269">
        <f>+'WP-2 - Labor Analysis'!A32</f>
        <v>34</v>
      </c>
      <c r="B33" s="2" t="s">
        <v>76</v>
      </c>
      <c r="C33" s="2" t="s">
        <v>78</v>
      </c>
      <c r="D33" s="549">
        <v>33.269300000000001</v>
      </c>
      <c r="E33" s="549">
        <v>36.093800000000002</v>
      </c>
      <c r="F33" s="549"/>
      <c r="G33" s="549">
        <v>37.9</v>
      </c>
      <c r="I33" s="270">
        <f>+'WP-2 - Labor Analysis'!Y32</f>
        <v>2325.2999999999997</v>
      </c>
      <c r="J33" s="270">
        <f>+'WP-2 - Labor Analysis'!Z32</f>
        <v>86354.84</v>
      </c>
      <c r="K33" s="270"/>
      <c r="M33" s="540">
        <f t="shared" si="22"/>
        <v>37.9</v>
      </c>
      <c r="N33" s="2">
        <f t="shared" si="23"/>
        <v>78832</v>
      </c>
      <c r="O33" s="2">
        <f t="shared" si="24"/>
        <v>13945.304999999984</v>
      </c>
      <c r="P33" s="270">
        <f t="shared" si="25"/>
        <v>92777.304999999978</v>
      </c>
      <c r="Q33" s="270">
        <v>2400</v>
      </c>
      <c r="R33" s="270">
        <f t="shared" si="26"/>
        <v>95177.304999999978</v>
      </c>
      <c r="S33" s="270">
        <f t="shared" si="27"/>
        <v>8822.464999999982</v>
      </c>
      <c r="T33" s="270">
        <f t="shared" si="19"/>
        <v>7097.4638324999978</v>
      </c>
      <c r="U33" s="270">
        <f t="shared" si="20"/>
        <v>42</v>
      </c>
      <c r="V33" s="270">
        <f t="shared" si="28"/>
        <v>269.36</v>
      </c>
      <c r="W33" s="270">
        <f t="shared" si="29"/>
        <v>4103.456909999999</v>
      </c>
      <c r="X33" s="270">
        <f t="shared" si="21"/>
        <v>11512.280742499997</v>
      </c>
    </row>
    <row r="34" spans="1:24">
      <c r="A34" s="269">
        <f>+'WP-2 - Labor Analysis'!A33</f>
        <v>35</v>
      </c>
      <c r="B34" s="2" t="s">
        <v>76</v>
      </c>
      <c r="C34" s="2" t="s">
        <v>78</v>
      </c>
      <c r="D34" s="549">
        <v>32.019300000000001</v>
      </c>
      <c r="E34" s="549">
        <v>34.747599999999998</v>
      </c>
      <c r="F34" s="549"/>
      <c r="G34" s="549">
        <v>36</v>
      </c>
      <c r="H34" s="4"/>
      <c r="I34" s="270">
        <f>+'WP-2 - Labor Analysis'!Y33</f>
        <v>2273.98</v>
      </c>
      <c r="J34" s="270">
        <f>+'WP-2 - Labor Analysis'!Z33</f>
        <v>80688.990000000005</v>
      </c>
      <c r="K34" s="1"/>
      <c r="M34" s="540">
        <f>+G34</f>
        <v>36</v>
      </c>
      <c r="N34" s="2">
        <f t="shared" si="23"/>
        <v>74880</v>
      </c>
      <c r="O34" s="2">
        <f t="shared" ref="O34:O48" si="30">IF(I34&gt;2080,(+I34-2080)*1.5*M34,0)</f>
        <v>10474.920000000002</v>
      </c>
      <c r="P34" s="270">
        <f t="shared" ref="P34:P48" si="31">+N34+O34</f>
        <v>85354.92</v>
      </c>
      <c r="Q34" s="270">
        <v>2400</v>
      </c>
      <c r="R34" s="270">
        <f t="shared" si="26"/>
        <v>87754.92</v>
      </c>
      <c r="S34" s="270">
        <f t="shared" si="27"/>
        <v>7065.929999999993</v>
      </c>
      <c r="T34" s="270">
        <f t="shared" si="19"/>
        <v>6529.6513799999993</v>
      </c>
      <c r="U34" s="270">
        <f t="shared" si="20"/>
        <v>42</v>
      </c>
      <c r="V34" s="270">
        <f t="shared" si="28"/>
        <v>269.36</v>
      </c>
      <c r="W34" s="270">
        <f t="shared" si="29"/>
        <v>4012.8925059999997</v>
      </c>
      <c r="X34" s="270">
        <f t="shared" si="21"/>
        <v>10853.903886</v>
      </c>
    </row>
    <row r="35" spans="1:24">
      <c r="A35" s="269">
        <f>+'WP-2 - Labor Analysis'!A34</f>
        <v>36</v>
      </c>
      <c r="B35" s="2" t="s">
        <v>76</v>
      </c>
      <c r="C35" s="2" t="s">
        <v>78</v>
      </c>
      <c r="D35" s="549">
        <v>24.353899999999999</v>
      </c>
      <c r="E35" s="549">
        <v>26.998100000000001</v>
      </c>
      <c r="F35" s="714">
        <v>28.75</v>
      </c>
      <c r="G35" s="549">
        <v>30.25</v>
      </c>
      <c r="I35" s="270">
        <f>+'WP-2 - Labor Analysis'!Y34</f>
        <v>2698.67</v>
      </c>
      <c r="J35" s="270">
        <f>+'WP-2 - Labor Analysis'!Z34</f>
        <v>80740.100000000006</v>
      </c>
      <c r="K35" s="1"/>
      <c r="M35" s="540">
        <f>+G35</f>
        <v>30.25</v>
      </c>
      <c r="N35" s="2">
        <f t="shared" si="23"/>
        <v>62920</v>
      </c>
      <c r="O35" s="2">
        <f t="shared" si="30"/>
        <v>28072.151250000003</v>
      </c>
      <c r="P35" s="270">
        <f t="shared" si="31"/>
        <v>90992.151249999995</v>
      </c>
      <c r="Q35" s="270">
        <v>2400</v>
      </c>
      <c r="R35" s="270">
        <f t="shared" si="26"/>
        <v>93392.151249999995</v>
      </c>
      <c r="S35" s="270">
        <f t="shared" si="27"/>
        <v>12652.05124999999</v>
      </c>
      <c r="T35" s="270">
        <f t="shared" si="19"/>
        <v>6960.8995706249998</v>
      </c>
      <c r="U35" s="270">
        <f t="shared" si="20"/>
        <v>42</v>
      </c>
      <c r="V35" s="270">
        <f t="shared" si="28"/>
        <v>269.36</v>
      </c>
      <c r="W35" s="270">
        <f t="shared" si="29"/>
        <v>4762.3429489999999</v>
      </c>
      <c r="X35" s="270">
        <f t="shared" si="21"/>
        <v>12034.602519625001</v>
      </c>
    </row>
    <row r="36" spans="1:24">
      <c r="A36" s="269">
        <f>+'WP-2 - Labor Analysis'!A35</f>
        <v>37</v>
      </c>
      <c r="B36" s="2" t="s">
        <v>76</v>
      </c>
      <c r="C36" s="2" t="s">
        <v>78</v>
      </c>
      <c r="D36" s="549">
        <v>24.615400000000001</v>
      </c>
      <c r="E36" s="549">
        <v>27.019300000000001</v>
      </c>
      <c r="F36" s="714">
        <v>28.75</v>
      </c>
      <c r="G36" s="549">
        <v>30</v>
      </c>
      <c r="I36" s="270">
        <f>+'WP-2 - Labor Analysis'!Y35</f>
        <v>2318.3599999999997</v>
      </c>
      <c r="J36" s="270">
        <f>+'WP-2 - Labor Analysis'!Z35</f>
        <v>64231.73</v>
      </c>
      <c r="K36" s="270"/>
      <c r="M36" s="540">
        <f>+G36</f>
        <v>30</v>
      </c>
      <c r="N36" s="2">
        <f>(IF(I36&gt;2080,2080*M36,I36*M36))</f>
        <v>62400</v>
      </c>
      <c r="O36" s="2">
        <f t="shared" si="30"/>
        <v>10726.199999999986</v>
      </c>
      <c r="P36" s="270">
        <f t="shared" si="31"/>
        <v>73126.199999999983</v>
      </c>
      <c r="Q36" s="270">
        <v>2400</v>
      </c>
      <c r="R36" s="270">
        <f t="shared" si="26"/>
        <v>75526.199999999983</v>
      </c>
      <c r="S36" s="270">
        <f t="shared" si="27"/>
        <v>11294.469999999979</v>
      </c>
      <c r="T36" s="270">
        <f t="shared" si="19"/>
        <v>5594.1542999999983</v>
      </c>
      <c r="U36" s="270">
        <f t="shared" si="20"/>
        <v>42</v>
      </c>
      <c r="V36" s="270">
        <f t="shared" si="28"/>
        <v>269.36</v>
      </c>
      <c r="W36" s="270">
        <f t="shared" si="29"/>
        <v>4091.2098919999994</v>
      </c>
      <c r="X36" s="270">
        <f t="shared" si="21"/>
        <v>9996.7241919999979</v>
      </c>
    </row>
    <row r="37" spans="1:24">
      <c r="A37" s="269">
        <v>56</v>
      </c>
      <c r="B37" s="2" t="s">
        <v>76</v>
      </c>
      <c r="C37" s="2" t="s">
        <v>78</v>
      </c>
      <c r="D37" s="549" t="s">
        <v>798</v>
      </c>
      <c r="E37" s="1"/>
      <c r="F37" s="549"/>
      <c r="G37" s="549">
        <v>26</v>
      </c>
      <c r="I37" s="270">
        <v>0</v>
      </c>
      <c r="J37" s="270">
        <v>0</v>
      </c>
      <c r="K37" s="1">
        <f>669.83/(0.288461538461538)</f>
        <v>2322.0773333333373</v>
      </c>
      <c r="M37" s="540">
        <f t="shared" ref="M37" si="32">+G37</f>
        <v>26</v>
      </c>
      <c r="N37" s="2">
        <f t="shared" ref="N37" si="33">(IF(K37&gt;2080,2080*M37,K37*M37))</f>
        <v>54080</v>
      </c>
      <c r="O37" s="2">
        <f t="shared" ref="O37" si="34">IF(K37&gt;2080,(+K37-2080)*1.5*M37,0)</f>
        <v>9441.0160000001524</v>
      </c>
      <c r="P37" s="270">
        <f>+N37+O37</f>
        <v>63521.016000000149</v>
      </c>
      <c r="Q37" s="270">
        <v>1800</v>
      </c>
      <c r="R37" s="270">
        <f>+P37+Q37</f>
        <v>65321.016000000149</v>
      </c>
      <c r="S37" s="270">
        <f>R37-J37</f>
        <v>65321.016000000149</v>
      </c>
      <c r="T37" s="270">
        <f t="shared" ref="T37" si="35">P37*0.0765</f>
        <v>4859.3577240000113</v>
      </c>
      <c r="U37" s="270">
        <f t="shared" ref="U37" si="36">IF(P37&gt;7000,7000*0.006,P37*0.006)</f>
        <v>42</v>
      </c>
      <c r="V37" s="270">
        <f>IF(R37&gt;$V$6,$V$6*$V$7,+R37*$V$7)</f>
        <v>241.68775920000056</v>
      </c>
      <c r="W37" s="270">
        <f>$W$6*K37</f>
        <v>4097.7698701333402</v>
      </c>
      <c r="X37" s="270">
        <f>+T37+U37+W37+V37</f>
        <v>9240.8153533333516</v>
      </c>
    </row>
    <row r="38" spans="1:24">
      <c r="A38" s="269">
        <f>+'WP-2 - Labor Analysis'!A36</f>
        <v>38</v>
      </c>
      <c r="B38" s="2" t="s">
        <v>76</v>
      </c>
      <c r="C38" s="2" t="s">
        <v>78</v>
      </c>
      <c r="D38" s="549">
        <v>20</v>
      </c>
      <c r="E38" s="549">
        <v>23</v>
      </c>
      <c r="F38" s="714">
        <v>24.15</v>
      </c>
      <c r="G38" s="549">
        <v>28</v>
      </c>
      <c r="I38" s="270">
        <f>+'WP-2 - Labor Analysis'!Y36</f>
        <v>1494.42</v>
      </c>
      <c r="J38" s="270">
        <f>+'WP-2 - Labor Analysis'!Z36</f>
        <v>33667.35</v>
      </c>
      <c r="K38" s="270"/>
      <c r="M38" s="540">
        <f>+G38</f>
        <v>28</v>
      </c>
      <c r="N38" s="2">
        <f t="shared" si="23"/>
        <v>41843.760000000002</v>
      </c>
      <c r="O38" s="2">
        <f t="shared" si="30"/>
        <v>0</v>
      </c>
      <c r="P38" s="270">
        <f t="shared" si="31"/>
        <v>41843.760000000002</v>
      </c>
      <c r="Q38" s="270">
        <v>2400</v>
      </c>
      <c r="R38" s="270">
        <f t="shared" si="26"/>
        <v>44243.76</v>
      </c>
      <c r="S38" s="270">
        <f t="shared" si="27"/>
        <v>10576.410000000003</v>
      </c>
      <c r="T38" s="270">
        <f t="shared" si="19"/>
        <v>3201.0476400000002</v>
      </c>
      <c r="U38" s="270">
        <f t="shared" si="20"/>
        <v>42</v>
      </c>
      <c r="V38" s="270">
        <f t="shared" si="28"/>
        <v>163.70191200000002</v>
      </c>
      <c r="W38" s="270">
        <f t="shared" si="29"/>
        <v>2637.2029739999998</v>
      </c>
      <c r="X38" s="270">
        <f t="shared" si="21"/>
        <v>6043.9525260000009</v>
      </c>
    </row>
    <row r="39" spans="1:24">
      <c r="A39" s="269">
        <f>+'WP-2 - Labor Analysis'!A37</f>
        <v>39</v>
      </c>
      <c r="B39" s="2" t="s">
        <v>76</v>
      </c>
      <c r="C39" s="2" t="s">
        <v>78</v>
      </c>
      <c r="D39" s="549">
        <v>27.980799999999999</v>
      </c>
      <c r="E39" s="549">
        <v>30.360600000000002</v>
      </c>
      <c r="F39" s="549"/>
      <c r="G39" s="714">
        <v>31.878599999999999</v>
      </c>
      <c r="I39" s="270">
        <f>+'WP-2 - Labor Analysis'!Y37</f>
        <v>2245.4900000000002</v>
      </c>
      <c r="J39" s="270">
        <f>+'WP-2 - Labor Analysis'!Z37</f>
        <v>69855.570000000007</v>
      </c>
      <c r="K39" s="270"/>
      <c r="M39" s="540">
        <f t="shared" ref="M39:M52" si="37">+G39</f>
        <v>31.878599999999999</v>
      </c>
      <c r="N39" s="2">
        <f t="shared" si="23"/>
        <v>66307.487999999998</v>
      </c>
      <c r="O39" s="2">
        <f t="shared" si="30"/>
        <v>7913.3842710000108</v>
      </c>
      <c r="P39" s="270">
        <f>+N39+O39</f>
        <v>74220.872271000015</v>
      </c>
      <c r="Q39" s="270">
        <v>2400</v>
      </c>
      <c r="R39" s="270">
        <f t="shared" si="26"/>
        <v>76620.872271000015</v>
      </c>
      <c r="S39" s="270">
        <f t="shared" si="27"/>
        <v>6765.3022710000077</v>
      </c>
      <c r="T39" s="270">
        <f t="shared" si="19"/>
        <v>5677.8967287315008</v>
      </c>
      <c r="U39" s="270">
        <f t="shared" si="20"/>
        <v>42</v>
      </c>
      <c r="V39" s="270">
        <f t="shared" si="28"/>
        <v>269.36</v>
      </c>
      <c r="W39" s="270">
        <f t="shared" si="29"/>
        <v>3962.6162030000005</v>
      </c>
      <c r="X39" s="270">
        <f t="shared" si="21"/>
        <v>9951.872931731501</v>
      </c>
    </row>
    <row r="40" spans="1:24">
      <c r="A40" s="716">
        <f>+'WP-2 - Labor Analysis'!A38</f>
        <v>40</v>
      </c>
      <c r="B40" s="2" t="s">
        <v>76</v>
      </c>
      <c r="C40" s="2" t="s">
        <v>78</v>
      </c>
      <c r="D40" s="549">
        <v>21.1539</v>
      </c>
      <c r="E40" s="549">
        <v>22.956800000000001</v>
      </c>
      <c r="F40" s="549"/>
      <c r="G40" s="714">
        <v>24.1539</v>
      </c>
      <c r="I40" s="270">
        <f>+'WP-2 - Labor Analysis'!Y38</f>
        <v>2267.54</v>
      </c>
      <c r="J40" s="270">
        <f>+'WP-2 - Labor Analysis'!Z38</f>
        <v>53335.68</v>
      </c>
      <c r="K40" s="270"/>
      <c r="M40" s="540" t="s">
        <v>798</v>
      </c>
      <c r="N40" s="2">
        <f t="shared" si="23"/>
        <v>0</v>
      </c>
      <c r="O40" s="2">
        <f t="shared" si="30"/>
        <v>0</v>
      </c>
      <c r="P40" s="270">
        <f t="shared" si="31"/>
        <v>0</v>
      </c>
      <c r="Q40" s="270"/>
      <c r="R40" s="270">
        <f t="shared" si="26"/>
        <v>0</v>
      </c>
      <c r="S40" s="270">
        <f t="shared" si="27"/>
        <v>-53335.68</v>
      </c>
      <c r="T40" s="270">
        <f t="shared" si="19"/>
        <v>0</v>
      </c>
      <c r="U40" s="270">
        <f t="shared" si="20"/>
        <v>0</v>
      </c>
      <c r="V40" s="270">
        <f t="shared" si="28"/>
        <v>0</v>
      </c>
      <c r="W40" s="270">
        <v>0</v>
      </c>
      <c r="X40" s="270">
        <f t="shared" si="21"/>
        <v>0</v>
      </c>
    </row>
    <row r="41" spans="1:24">
      <c r="A41" s="269">
        <f>+'WP-2 - Labor Analysis'!A39</f>
        <v>41</v>
      </c>
      <c r="B41" s="2" t="s">
        <v>76</v>
      </c>
      <c r="C41" s="2" t="s">
        <v>78</v>
      </c>
      <c r="D41" s="549">
        <v>27.4039</v>
      </c>
      <c r="E41" s="549">
        <v>29.735600000000002</v>
      </c>
      <c r="F41" s="549"/>
      <c r="G41" s="714">
        <v>31.2224</v>
      </c>
      <c r="I41" s="270">
        <f>+'WP-2 - Labor Analysis'!Y39</f>
        <v>2244.5500000000002</v>
      </c>
      <c r="J41" s="270">
        <f>+'WP-2 - Labor Analysis'!Z39</f>
        <v>67994.78</v>
      </c>
      <c r="K41" s="270"/>
      <c r="M41" s="540">
        <f t="shared" si="37"/>
        <v>31.2224</v>
      </c>
      <c r="N41" s="2">
        <f t="shared" si="23"/>
        <v>64942.592000000004</v>
      </c>
      <c r="O41" s="2">
        <f t="shared" si="30"/>
        <v>7706.4688800000085</v>
      </c>
      <c r="P41" s="270">
        <f t="shared" si="31"/>
        <v>72649.060880000019</v>
      </c>
      <c r="Q41" s="270">
        <v>2400</v>
      </c>
      <c r="R41" s="270">
        <f t="shared" si="26"/>
        <v>75049.060880000019</v>
      </c>
      <c r="S41" s="270">
        <f t="shared" si="27"/>
        <v>7054.2808800000203</v>
      </c>
      <c r="T41" s="270">
        <f t="shared" si="19"/>
        <v>5557.6531573200018</v>
      </c>
      <c r="U41" s="270">
        <f t="shared" si="20"/>
        <v>42</v>
      </c>
      <c r="V41" s="270">
        <f t="shared" si="28"/>
        <v>269.36</v>
      </c>
      <c r="W41" s="270">
        <f t="shared" si="29"/>
        <v>3960.9573850000002</v>
      </c>
      <c r="X41" s="270">
        <f t="shared" si="21"/>
        <v>9829.970542320003</v>
      </c>
    </row>
    <row r="42" spans="1:24">
      <c r="A42" s="716">
        <f>+'WP-2 - Labor Analysis'!A40</f>
        <v>42</v>
      </c>
      <c r="B42" s="2" t="s">
        <v>76</v>
      </c>
      <c r="C42" s="2" t="s">
        <v>78</v>
      </c>
      <c r="D42" s="549">
        <v>23.353899999999999</v>
      </c>
      <c r="E42" s="549">
        <v>25.3385</v>
      </c>
      <c r="F42" s="549"/>
      <c r="G42" s="714"/>
      <c r="I42" s="270">
        <f>+'WP-2 - Labor Analysis'!Y40</f>
        <v>1127.8000000000002</v>
      </c>
      <c r="J42" s="270">
        <f>+'WP-2 - Labor Analysis'!Z40</f>
        <v>27951.62</v>
      </c>
      <c r="K42" s="270"/>
      <c r="M42" s="540" t="s">
        <v>798</v>
      </c>
      <c r="N42" s="2">
        <f t="shared" si="23"/>
        <v>0</v>
      </c>
      <c r="O42" s="2">
        <f t="shared" si="30"/>
        <v>0</v>
      </c>
      <c r="P42" s="270">
        <f t="shared" si="31"/>
        <v>0</v>
      </c>
      <c r="Q42" s="270"/>
      <c r="R42" s="270">
        <f t="shared" si="26"/>
        <v>0</v>
      </c>
      <c r="S42" s="270">
        <f t="shared" si="27"/>
        <v>-27951.62</v>
      </c>
      <c r="T42" s="270">
        <f t="shared" si="19"/>
        <v>0</v>
      </c>
      <c r="U42" s="270">
        <f t="shared" si="20"/>
        <v>0</v>
      </c>
      <c r="V42" s="270">
        <f t="shared" si="28"/>
        <v>0</v>
      </c>
      <c r="W42" s="270">
        <v>0</v>
      </c>
      <c r="X42" s="270">
        <f t="shared" si="21"/>
        <v>0</v>
      </c>
    </row>
    <row r="43" spans="1:24">
      <c r="A43" s="269">
        <f>+'WP-2 - Labor Analysis'!A41</f>
        <v>43</v>
      </c>
      <c r="B43" s="2" t="s">
        <v>76</v>
      </c>
      <c r="C43" s="2" t="s">
        <v>78</v>
      </c>
      <c r="D43" s="549">
        <v>23.75</v>
      </c>
      <c r="E43" s="549">
        <v>25.769300000000001</v>
      </c>
      <c r="F43" s="714">
        <v>27.0578</v>
      </c>
      <c r="G43" s="714">
        <v>28</v>
      </c>
      <c r="I43" s="270">
        <f>+'WP-2 - Labor Analysis'!Y41</f>
        <v>2174.1799999999998</v>
      </c>
      <c r="J43" s="270">
        <f>+'WP-2 - Labor Analysis'!Z41</f>
        <v>56687.26</v>
      </c>
      <c r="K43" s="270"/>
      <c r="M43" s="540">
        <f>+G43</f>
        <v>28</v>
      </c>
      <c r="N43" s="2">
        <f t="shared" si="23"/>
        <v>58240</v>
      </c>
      <c r="O43" s="2">
        <f t="shared" si="30"/>
        <v>3955.5599999999931</v>
      </c>
      <c r="P43" s="270">
        <f t="shared" si="31"/>
        <v>62195.55999999999</v>
      </c>
      <c r="Q43" s="270">
        <v>2400</v>
      </c>
      <c r="R43" s="270">
        <f t="shared" si="26"/>
        <v>64595.55999999999</v>
      </c>
      <c r="S43" s="270">
        <f t="shared" si="27"/>
        <v>7908.2999999999884</v>
      </c>
      <c r="T43" s="270">
        <f t="shared" si="19"/>
        <v>4757.9603399999987</v>
      </c>
      <c r="U43" s="270">
        <f t="shared" si="20"/>
        <v>42</v>
      </c>
      <c r="V43" s="270">
        <f t="shared" si="28"/>
        <v>239.00357199999996</v>
      </c>
      <c r="W43" s="270">
        <f t="shared" si="29"/>
        <v>3836.7754459999996</v>
      </c>
      <c r="X43" s="270">
        <f t="shared" si="21"/>
        <v>8875.7393579999971</v>
      </c>
    </row>
    <row r="44" spans="1:24">
      <c r="A44" s="269">
        <f>+'WP-2 - Labor Analysis'!A42</f>
        <v>44</v>
      </c>
      <c r="B44" s="2" t="s">
        <v>76</v>
      </c>
      <c r="C44" s="2" t="s">
        <v>78</v>
      </c>
      <c r="D44" s="549">
        <v>31.730799999999999</v>
      </c>
      <c r="E44" s="549">
        <v>34.9039</v>
      </c>
      <c r="F44" s="549"/>
      <c r="G44" s="714">
        <v>39.711500000000001</v>
      </c>
      <c r="I44" s="270">
        <f>+'WP-2 - Labor Analysis'!Y42</f>
        <v>2315.11</v>
      </c>
      <c r="J44" s="270">
        <f>+'WP-2 - Labor Analysis'!Z42</f>
        <v>82422.259999999995</v>
      </c>
      <c r="K44" s="270"/>
      <c r="M44" s="540">
        <f t="shared" si="37"/>
        <v>39.711500000000001</v>
      </c>
      <c r="N44" s="2">
        <f t="shared" si="23"/>
        <v>82599.92</v>
      </c>
      <c r="O44" s="2">
        <f t="shared" si="30"/>
        <v>14004.856147500008</v>
      </c>
      <c r="P44" s="270">
        <f t="shared" si="31"/>
        <v>96604.776147500001</v>
      </c>
      <c r="Q44" s="270">
        <v>2400</v>
      </c>
      <c r="R44" s="270">
        <f t="shared" si="26"/>
        <v>99004.776147500001</v>
      </c>
      <c r="S44" s="270">
        <f t="shared" si="27"/>
        <v>16582.516147500006</v>
      </c>
      <c r="T44" s="270">
        <f t="shared" si="19"/>
        <v>7390.2653752837496</v>
      </c>
      <c r="U44" s="270">
        <f t="shared" si="20"/>
        <v>42</v>
      </c>
      <c r="V44" s="270">
        <f t="shared" si="28"/>
        <v>269.36</v>
      </c>
      <c r="W44" s="270">
        <f t="shared" si="29"/>
        <v>4085.4746169999999</v>
      </c>
      <c r="X44" s="270">
        <f t="shared" si="21"/>
        <v>11787.099992283751</v>
      </c>
    </row>
    <row r="45" spans="1:24">
      <c r="A45" s="269">
        <f>+'WP-2 - Labor Analysis'!A43</f>
        <v>45</v>
      </c>
      <c r="B45" s="2" t="s">
        <v>76</v>
      </c>
      <c r="C45" s="2" t="s">
        <v>78</v>
      </c>
      <c r="D45" s="549">
        <v>25.1539</v>
      </c>
      <c r="E45" s="549">
        <v>27.293299999999999</v>
      </c>
      <c r="F45" s="549"/>
      <c r="G45" s="714">
        <v>29</v>
      </c>
      <c r="I45" s="270">
        <f>+'WP-2 - Labor Analysis'!Y43</f>
        <v>2188.6</v>
      </c>
      <c r="J45" s="270">
        <f>+'WP-2 - Labor Analysis'!Z43</f>
        <v>60784.05</v>
      </c>
      <c r="K45" s="270"/>
      <c r="M45" s="540">
        <f t="shared" si="37"/>
        <v>29</v>
      </c>
      <c r="N45" s="2">
        <f t="shared" si="23"/>
        <v>60320</v>
      </c>
      <c r="O45" s="2">
        <f t="shared" si="30"/>
        <v>4724.0999999999958</v>
      </c>
      <c r="P45" s="270">
        <f t="shared" si="31"/>
        <v>65044.1</v>
      </c>
      <c r="Q45" s="270">
        <v>2400</v>
      </c>
      <c r="R45" s="270">
        <f t="shared" si="26"/>
        <v>67444.100000000006</v>
      </c>
      <c r="S45" s="270">
        <f t="shared" si="27"/>
        <v>6660.0500000000029</v>
      </c>
      <c r="T45" s="270">
        <f t="shared" si="19"/>
        <v>4975.8736499999995</v>
      </c>
      <c r="U45" s="270">
        <f t="shared" si="20"/>
        <v>42</v>
      </c>
      <c r="V45" s="270">
        <f t="shared" si="28"/>
        <v>249.54317000000003</v>
      </c>
      <c r="W45" s="270">
        <f t="shared" si="29"/>
        <v>3862.2224199999996</v>
      </c>
      <c r="X45" s="270">
        <f t="shared" si="21"/>
        <v>9129.6392400000004</v>
      </c>
    </row>
    <row r="46" spans="1:24">
      <c r="A46" s="269">
        <f>+'WP-2 - Labor Analysis'!A44</f>
        <v>46</v>
      </c>
      <c r="B46" s="2" t="s">
        <v>76</v>
      </c>
      <c r="C46" s="2" t="s">
        <v>78</v>
      </c>
      <c r="D46" s="549">
        <v>32.5961</v>
      </c>
      <c r="E46" s="549">
        <v>35.360599999999998</v>
      </c>
      <c r="F46" s="549"/>
      <c r="G46" s="714">
        <v>37.130000000000003</v>
      </c>
      <c r="I46" s="270">
        <f>+'WP-2 - Labor Analysis'!Y44</f>
        <v>2177.2399999999998</v>
      </c>
      <c r="J46" s="270">
        <f>+'WP-2 - Labor Analysis'!Z44</f>
        <v>77777.25</v>
      </c>
      <c r="K46" s="270"/>
      <c r="M46" s="540">
        <f t="shared" si="37"/>
        <v>37.130000000000003</v>
      </c>
      <c r="N46" s="2">
        <f t="shared" si="23"/>
        <v>77230.400000000009</v>
      </c>
      <c r="O46" s="2">
        <f t="shared" si="30"/>
        <v>5415.7817999999879</v>
      </c>
      <c r="P46" s="270">
        <f t="shared" si="31"/>
        <v>82646.181799999991</v>
      </c>
      <c r="Q46" s="270">
        <v>2400</v>
      </c>
      <c r="R46" s="270">
        <f t="shared" si="26"/>
        <v>85046.181799999991</v>
      </c>
      <c r="S46" s="270">
        <f t="shared" si="27"/>
        <v>7268.9317999999912</v>
      </c>
      <c r="T46" s="270">
        <f t="shared" si="19"/>
        <v>6322.4329076999993</v>
      </c>
      <c r="U46" s="270">
        <f t="shared" si="20"/>
        <v>42</v>
      </c>
      <c r="V46" s="270">
        <f t="shared" si="28"/>
        <v>269.36</v>
      </c>
      <c r="W46" s="270">
        <f t="shared" si="29"/>
        <v>3842.1754279999996</v>
      </c>
      <c r="X46" s="270">
        <f t="shared" si="21"/>
        <v>10475.968335699999</v>
      </c>
    </row>
    <row r="47" spans="1:24">
      <c r="A47" s="269">
        <f>+'WP-2 - Labor Analysis'!A45</f>
        <v>47</v>
      </c>
      <c r="B47" s="2" t="s">
        <v>76</v>
      </c>
      <c r="C47" s="2" t="s">
        <v>78</v>
      </c>
      <c r="D47" s="549">
        <v>21</v>
      </c>
      <c r="E47" s="549">
        <v>23</v>
      </c>
      <c r="F47" s="549"/>
      <c r="G47" s="714">
        <v>24</v>
      </c>
      <c r="I47" s="270">
        <f>+'WP-2 - Labor Analysis'!Y45</f>
        <v>1324.35</v>
      </c>
      <c r="J47" s="270">
        <f>+'WP-2 - Labor Analysis'!Z45</f>
        <v>30410.92</v>
      </c>
      <c r="K47" s="1">
        <f>1127.15*2</f>
        <v>2254.3000000000002</v>
      </c>
      <c r="M47" s="540">
        <f t="shared" ref="M47" si="38">+G47</f>
        <v>24</v>
      </c>
      <c r="N47" s="2">
        <f>(IF(K47&gt;2080,2080*M47,K47*M47))</f>
        <v>49920</v>
      </c>
      <c r="O47" s="2">
        <f>IF(K47&gt;2080,(+K47-2080)*1.5*M47,0)</f>
        <v>6274.8000000000065</v>
      </c>
      <c r="P47" s="270">
        <f>+N47+O47</f>
        <v>56194.8</v>
      </c>
      <c r="Q47" s="270"/>
      <c r="R47" s="270">
        <f>+P47+Q47</f>
        <v>56194.8</v>
      </c>
      <c r="S47" s="270">
        <f>R47-J47</f>
        <v>25783.880000000005</v>
      </c>
      <c r="T47" s="270">
        <f>P47*0.0765</f>
        <v>4298.9022000000004</v>
      </c>
      <c r="U47" s="270">
        <f>IF(P47&gt;7000,7000*0.006,P47*0.006)</f>
        <v>42</v>
      </c>
      <c r="V47" s="270">
        <f>IF(R47&gt;$V$6,$V$6*$V$7,+R47*$V$7)</f>
        <v>207.92076000000003</v>
      </c>
      <c r="W47" s="270">
        <f>$W$6*K47</f>
        <v>3978.1632100000002</v>
      </c>
      <c r="X47" s="270">
        <f>+T47+U47+W47+V47</f>
        <v>8526.9861700000019</v>
      </c>
    </row>
    <row r="48" spans="1:24">
      <c r="A48" s="269">
        <f>+'WP-2 - Labor Analysis'!A46</f>
        <v>48</v>
      </c>
      <c r="B48" s="2" t="s">
        <v>76</v>
      </c>
      <c r="C48" s="2" t="s">
        <v>78</v>
      </c>
      <c r="D48" s="549">
        <v>26.730799999999999</v>
      </c>
      <c r="E48" s="549">
        <v>28.894300000000001</v>
      </c>
      <c r="F48" s="549"/>
      <c r="G48" s="714">
        <v>30.338999999999999</v>
      </c>
      <c r="I48" s="270">
        <f>+'WP-2 - Labor Analysis'!Y46</f>
        <v>2211.67</v>
      </c>
      <c r="J48" s="270">
        <f>+'WP-2 - Labor Analysis'!Z46</f>
        <v>64329.13</v>
      </c>
      <c r="K48" s="270"/>
      <c r="M48" s="540">
        <f t="shared" si="37"/>
        <v>30.338999999999999</v>
      </c>
      <c r="N48" s="2">
        <f t="shared" si="23"/>
        <v>63105.119999999995</v>
      </c>
      <c r="O48" s="2">
        <f t="shared" si="30"/>
        <v>5992.1041950000026</v>
      </c>
      <c r="P48" s="270">
        <f t="shared" si="31"/>
        <v>69097.224195000003</v>
      </c>
      <c r="Q48" s="270">
        <v>2400</v>
      </c>
      <c r="R48" s="270">
        <f t="shared" si="26"/>
        <v>71497.224195000003</v>
      </c>
      <c r="S48" s="270">
        <f t="shared" si="27"/>
        <v>7168.0941950000051</v>
      </c>
      <c r="T48" s="270">
        <f t="shared" si="19"/>
        <v>5285.9376509174999</v>
      </c>
      <c r="U48" s="270">
        <f t="shared" si="20"/>
        <v>42</v>
      </c>
      <c r="V48" s="270">
        <f t="shared" si="28"/>
        <v>264.53972952150002</v>
      </c>
      <c r="W48" s="270">
        <f t="shared" si="29"/>
        <v>3902.934049</v>
      </c>
      <c r="X48" s="270">
        <f t="shared" si="21"/>
        <v>9495.4114294390001</v>
      </c>
    </row>
    <row r="49" spans="1:25">
      <c r="A49" s="269">
        <f>+'WP-2 - Labor Analysis'!A47</f>
        <v>49</v>
      </c>
      <c r="B49" s="2" t="s">
        <v>76</v>
      </c>
      <c r="C49" s="2" t="s">
        <v>78</v>
      </c>
      <c r="D49" s="549">
        <v>21</v>
      </c>
      <c r="E49" s="549">
        <v>24</v>
      </c>
      <c r="F49" s="549"/>
      <c r="G49" s="714">
        <v>26.75</v>
      </c>
      <c r="I49" s="270">
        <f>+'WP-2 - Labor Analysis'!Y47</f>
        <v>713.25</v>
      </c>
      <c r="J49" s="270">
        <f>+'WP-2 - Labor Analysis'!Z47</f>
        <v>16299.13</v>
      </c>
      <c r="K49" s="270">
        <f>2188.14/(0.884615384615385)</f>
        <v>2473.5495652173913</v>
      </c>
      <c r="M49" s="540">
        <f>+G49</f>
        <v>26.75</v>
      </c>
      <c r="N49" s="2">
        <f>(IF(K49&gt;2080,2080*M49,K49*M49))</f>
        <v>55640</v>
      </c>
      <c r="O49" s="2">
        <f>IF(K49&gt;2080,(+K49-2080)*1.5*M49,0)</f>
        <v>15791.176304347826</v>
      </c>
      <c r="P49" s="270">
        <f>+N49+O49</f>
        <v>71431.176304347828</v>
      </c>
      <c r="Q49" s="270">
        <v>2400</v>
      </c>
      <c r="R49" s="270">
        <f>+P49+Q49</f>
        <v>73831.176304347828</v>
      </c>
      <c r="S49" s="270">
        <f>R49-J49</f>
        <v>57532.04630434783</v>
      </c>
      <c r="T49" s="270">
        <f>P49*0.0765</f>
        <v>5464.4849872826089</v>
      </c>
      <c r="U49" s="270">
        <f>IF(P49&gt;7000,7000*0.006,P49*0.006)</f>
        <v>42</v>
      </c>
      <c r="V49" s="270">
        <f>IF(R49&gt;$V$6,$V$6*$V$7,+R49*$V$7)</f>
        <v>269.36</v>
      </c>
      <c r="W49" s="270">
        <f>$W$6*K49</f>
        <v>4365.0729177391304</v>
      </c>
      <c r="X49" s="270">
        <f>+T49+U49+W49+V49</f>
        <v>10140.917905021739</v>
      </c>
    </row>
    <row r="50" spans="1:25">
      <c r="A50" s="717">
        <f>+'WP-2 - Labor Analysis'!A48</f>
        <v>50</v>
      </c>
      <c r="B50" s="2" t="s">
        <v>76</v>
      </c>
      <c r="C50" s="2" t="s">
        <v>78</v>
      </c>
      <c r="D50" s="549">
        <v>27.211500000000001</v>
      </c>
      <c r="E50" s="549">
        <v>29.519300000000001</v>
      </c>
      <c r="F50" s="549"/>
      <c r="G50" s="714"/>
      <c r="I50" s="270">
        <f>+'WP-2 - Labor Analysis'!Y48</f>
        <v>1151.8499999999999</v>
      </c>
      <c r="J50" s="270">
        <f>+'WP-2 - Labor Analysis'!Z48</f>
        <v>33794.29</v>
      </c>
      <c r="K50" s="270"/>
      <c r="M50" s="540" t="s">
        <v>798</v>
      </c>
      <c r="N50" s="2">
        <f t="shared" ref="N50" si="39">(IF(I50&gt;2080,2080*M50,I50*M50))</f>
        <v>0</v>
      </c>
      <c r="O50" s="2">
        <f t="shared" ref="O50" si="40">IF(I50&gt;2080,(+I50-2080)*1.5*M50,0)</f>
        <v>0</v>
      </c>
      <c r="P50" s="270">
        <f t="shared" ref="P50" si="41">+N50+O50</f>
        <v>0</v>
      </c>
      <c r="Q50" s="270"/>
      <c r="R50" s="270">
        <f t="shared" si="26"/>
        <v>0</v>
      </c>
      <c r="S50" s="270">
        <f t="shared" si="27"/>
        <v>-33794.29</v>
      </c>
      <c r="T50" s="270">
        <f t="shared" si="19"/>
        <v>0</v>
      </c>
      <c r="U50" s="270">
        <f t="shared" si="20"/>
        <v>0</v>
      </c>
      <c r="V50" s="270">
        <f t="shared" si="28"/>
        <v>0</v>
      </c>
      <c r="W50" s="270">
        <v>0</v>
      </c>
      <c r="X50" s="270">
        <f t="shared" si="21"/>
        <v>0</v>
      </c>
    </row>
    <row r="51" spans="1:25">
      <c r="A51" s="269">
        <f>+'WP-2 - Labor Analysis'!A49</f>
        <v>51</v>
      </c>
      <c r="B51" s="2" t="s">
        <v>76</v>
      </c>
      <c r="C51" s="2" t="s">
        <v>78</v>
      </c>
      <c r="D51" s="549">
        <v>25.1539</v>
      </c>
      <c r="E51" s="549">
        <v>27.293299999999999</v>
      </c>
      <c r="F51" s="549"/>
      <c r="G51" s="714">
        <v>28.75</v>
      </c>
      <c r="I51" s="270">
        <f>+'WP-2 - Labor Analysis'!Y49</f>
        <v>2325.6000000000004</v>
      </c>
      <c r="J51" s="270">
        <f>+'WP-2 - Labor Analysis'!Z49</f>
        <v>65512.08</v>
      </c>
      <c r="K51" s="270"/>
      <c r="M51" s="540">
        <f t="shared" si="37"/>
        <v>28.75</v>
      </c>
      <c r="N51" s="2">
        <f t="shared" ref="N51:N52" si="42">(IF(I51&gt;2080,2080*M51,I51*M51))</f>
        <v>59800</v>
      </c>
      <c r="O51" s="2">
        <f t="shared" ref="O51:O52" si="43">IF(I51&gt;2080,(+I51-2080)*1.5*M51,0)</f>
        <v>10591.500000000016</v>
      </c>
      <c r="P51" s="270">
        <f t="shared" ref="P51:P52" si="44">+N51+O51</f>
        <v>70391.500000000015</v>
      </c>
      <c r="Q51" s="270">
        <v>2400</v>
      </c>
      <c r="R51" s="270">
        <f t="shared" si="26"/>
        <v>72791.500000000015</v>
      </c>
      <c r="S51" s="270">
        <f t="shared" si="27"/>
        <v>7279.4200000000128</v>
      </c>
      <c r="T51" s="270">
        <f t="shared" si="19"/>
        <v>5384.9497500000007</v>
      </c>
      <c r="U51" s="270">
        <f t="shared" si="20"/>
        <v>42</v>
      </c>
      <c r="V51" s="270">
        <f t="shared" si="28"/>
        <v>269.32855000000006</v>
      </c>
      <c r="W51" s="270">
        <f t="shared" si="29"/>
        <v>4103.9863200000009</v>
      </c>
      <c r="X51" s="270">
        <f t="shared" si="21"/>
        <v>9800.2646200000017</v>
      </c>
    </row>
    <row r="52" spans="1:25">
      <c r="A52" s="269">
        <f>+'WP-2 - Labor Analysis'!A50</f>
        <v>52</v>
      </c>
      <c r="B52" s="2" t="s">
        <v>76</v>
      </c>
      <c r="C52" s="2" t="s">
        <v>78</v>
      </c>
      <c r="D52" s="549">
        <v>33.461500000000001</v>
      </c>
      <c r="E52" s="549">
        <v>36.298099999999998</v>
      </c>
      <c r="F52" s="549"/>
      <c r="G52" s="714">
        <v>37.9</v>
      </c>
      <c r="H52" s="4"/>
      <c r="I52" s="270">
        <f>+'WP-2 - Labor Analysis'!Y50</f>
        <v>2085.6799999999998</v>
      </c>
      <c r="J52" s="270">
        <f>+'WP-2 - Labor Analysis'!Z50</f>
        <v>76900.929999999993</v>
      </c>
      <c r="K52" s="270"/>
      <c r="M52" s="540">
        <f t="shared" si="37"/>
        <v>37.9</v>
      </c>
      <c r="N52" s="2">
        <f t="shared" si="42"/>
        <v>78832</v>
      </c>
      <c r="O52" s="2">
        <f t="shared" si="43"/>
        <v>322.90799999999069</v>
      </c>
      <c r="P52" s="270">
        <f t="shared" si="44"/>
        <v>79154.907999999996</v>
      </c>
      <c r="Q52" s="270">
        <v>2400</v>
      </c>
      <c r="R52" s="270">
        <f t="shared" si="26"/>
        <v>81554.907999999996</v>
      </c>
      <c r="S52" s="270">
        <f t="shared" si="27"/>
        <v>4653.9780000000028</v>
      </c>
      <c r="T52" s="270">
        <f t="shared" si="19"/>
        <v>6055.3504619999994</v>
      </c>
      <c r="U52" s="270">
        <f t="shared" si="20"/>
        <v>42</v>
      </c>
      <c r="V52" s="270">
        <f t="shared" si="28"/>
        <v>269.36</v>
      </c>
      <c r="W52" s="270">
        <f t="shared" si="29"/>
        <v>3680.5994959999994</v>
      </c>
      <c r="X52" s="270">
        <f t="shared" si="21"/>
        <v>10047.309958</v>
      </c>
    </row>
    <row r="53" spans="1:25">
      <c r="A53" s="269">
        <f>+'WP-2 - Labor Analysis'!A51</f>
        <v>53</v>
      </c>
      <c r="B53" s="2" t="s">
        <v>76</v>
      </c>
      <c r="C53" s="2" t="s">
        <v>78</v>
      </c>
      <c r="D53" s="549">
        <v>33.269300000000001</v>
      </c>
      <c r="E53" s="549">
        <v>36.0961</v>
      </c>
      <c r="F53" s="549"/>
      <c r="G53" s="714">
        <v>37.901000000000003</v>
      </c>
      <c r="I53" s="270">
        <f>+'WP-2 - Labor Analysis'!Y51</f>
        <v>2177</v>
      </c>
      <c r="J53" s="270">
        <f>+'WP-2 - Labor Analysis'!Z51</f>
        <v>84992.36</v>
      </c>
      <c r="K53" s="270"/>
      <c r="M53" s="540">
        <f>+G53</f>
        <v>37.901000000000003</v>
      </c>
      <c r="N53" s="2">
        <f>(IF(I53&gt;2080,2080*M53,I53*M53))</f>
        <v>78834.080000000002</v>
      </c>
      <c r="O53" s="2">
        <f>IF(I53&gt;2080,(+I53-2080)*1.5*M53,0)</f>
        <v>5514.5955000000004</v>
      </c>
      <c r="P53" s="270">
        <f>+N53+O53</f>
        <v>84348.675499999998</v>
      </c>
      <c r="Q53" s="270">
        <v>2400</v>
      </c>
      <c r="R53" s="270">
        <f>+P53+Q53</f>
        <v>86748.675499999998</v>
      </c>
      <c r="S53" s="270">
        <f>R53-J53</f>
        <v>1756.315499999997</v>
      </c>
      <c r="T53" s="270">
        <f t="shared" si="19"/>
        <v>6452.6736757499993</v>
      </c>
      <c r="U53" s="270">
        <f t="shared" si="20"/>
        <v>42</v>
      </c>
      <c r="V53" s="270">
        <f t="shared" si="28"/>
        <v>269.36</v>
      </c>
      <c r="W53" s="270">
        <f t="shared" si="29"/>
        <v>3841.7518999999998</v>
      </c>
      <c r="X53" s="270">
        <f t="shared" si="21"/>
        <v>10605.78557575</v>
      </c>
    </row>
    <row r="54" spans="1:25">
      <c r="A54" s="269">
        <f>+'WP-2 - Labor Analysis'!A52</f>
        <v>54</v>
      </c>
      <c r="B54" s="2" t="s">
        <v>76</v>
      </c>
      <c r="C54" s="2" t="s">
        <v>78</v>
      </c>
      <c r="D54" s="549">
        <v>23.6539</v>
      </c>
      <c r="E54" s="715">
        <v>25.576899999999998</v>
      </c>
      <c r="F54" s="549">
        <v>26.855799999999999</v>
      </c>
      <c r="G54" s="714">
        <v>28.5</v>
      </c>
      <c r="I54" s="270">
        <f>+'WP-2 - Labor Analysis'!Y52</f>
        <v>2134.61</v>
      </c>
      <c r="J54" s="270">
        <f>+'WP-2 - Labor Analysis'!Z52</f>
        <v>54958.18</v>
      </c>
      <c r="K54" s="270"/>
      <c r="M54" s="540">
        <f>+G54</f>
        <v>28.5</v>
      </c>
      <c r="N54" s="2">
        <f>(IF(I54&gt;2080,2080*M54,I54*M54))</f>
        <v>59280</v>
      </c>
      <c r="O54" s="2">
        <f t="shared" ref="O54" si="45">IF(I54&gt;2080,(+I54-2080)*1.5*M54,0)</f>
        <v>2334.5775000000053</v>
      </c>
      <c r="P54" s="270">
        <f t="shared" ref="P54" si="46">+N54+O54</f>
        <v>61614.577500000007</v>
      </c>
      <c r="Q54" s="270">
        <v>2400</v>
      </c>
      <c r="R54" s="270">
        <f t="shared" ref="R54" si="47">+P54+Q54</f>
        <v>64014.577500000007</v>
      </c>
      <c r="S54" s="270">
        <f t="shared" ref="S54" si="48">R54-J54</f>
        <v>9056.3975000000064</v>
      </c>
      <c r="T54" s="270">
        <f t="shared" ref="T54" si="49">P54*0.0765</f>
        <v>4713.5151787500008</v>
      </c>
      <c r="U54" s="270">
        <f t="shared" ref="U54" si="50">IF(P54&gt;7000,7000*0.006,P54*0.006)</f>
        <v>42</v>
      </c>
      <c r="V54" s="270">
        <f t="shared" si="28"/>
        <v>236.85393675000003</v>
      </c>
      <c r="W54" s="270">
        <f t="shared" si="29"/>
        <v>3766.9462670000003</v>
      </c>
      <c r="X54" s="270">
        <f t="shared" ref="X54" si="51">+T54+U54+W54+V54</f>
        <v>8759.3153825000009</v>
      </c>
    </row>
    <row r="55" spans="1:25">
      <c r="A55" s="269">
        <f>+'WP-2 - Labor Analysis'!A53</f>
        <v>55</v>
      </c>
      <c r="B55" s="2" t="s">
        <v>76</v>
      </c>
      <c r="C55" s="2" t="s">
        <v>78</v>
      </c>
      <c r="D55" s="549">
        <v>20</v>
      </c>
      <c r="E55" s="549">
        <v>21.6828</v>
      </c>
      <c r="F55" s="549"/>
      <c r="G55" s="549"/>
      <c r="I55" s="270">
        <f>+'WP-2 - Labor Analysis'!Y53</f>
        <v>1632.12</v>
      </c>
      <c r="J55" s="270">
        <f>+'WP-2 - Labor Analysis'!Z53</f>
        <v>35835.4</v>
      </c>
      <c r="K55" s="270"/>
      <c r="M55" s="540" t="s">
        <v>798</v>
      </c>
      <c r="N55" s="2">
        <f>(IF(K55&gt;2080,2080*M55,K55*M55))</f>
        <v>0</v>
      </c>
      <c r="O55" s="2">
        <f>IF(K55&gt;2080,(+K55-2080)*1.5*M55,0)</f>
        <v>0</v>
      </c>
      <c r="P55" s="270">
        <f>+N55+O55</f>
        <v>0</v>
      </c>
      <c r="Q55" s="270"/>
      <c r="R55" s="278">
        <f t="shared" si="26"/>
        <v>0</v>
      </c>
      <c r="S55" s="278">
        <f t="shared" si="27"/>
        <v>-35835.4</v>
      </c>
      <c r="T55" s="270">
        <f t="shared" si="19"/>
        <v>0</v>
      </c>
      <c r="U55" s="270">
        <f t="shared" si="20"/>
        <v>0</v>
      </c>
      <c r="V55" s="270">
        <f t="shared" si="28"/>
        <v>0</v>
      </c>
      <c r="W55" s="270">
        <v>0</v>
      </c>
      <c r="X55" s="270">
        <f t="shared" si="21"/>
        <v>0</v>
      </c>
    </row>
    <row r="56" spans="1:25">
      <c r="A56" s="275" t="str">
        <f>+'WP-2 - Labor Analysis'!A54</f>
        <v>DRIVERS</v>
      </c>
      <c r="D56" s="549"/>
      <c r="E56" s="549"/>
      <c r="F56" s="549"/>
      <c r="G56" s="714"/>
      <c r="I56" s="574">
        <f>SUM(I29:I55)</f>
        <v>52781.13</v>
      </c>
      <c r="J56" s="574">
        <f>SUM(J29:J55)</f>
        <v>1611936.0299999998</v>
      </c>
      <c r="K56" s="270"/>
      <c r="M56" s="540"/>
      <c r="N56" s="600"/>
      <c r="O56" s="600"/>
      <c r="P56" s="573">
        <f>SUM(P29:P55)</f>
        <v>1723219.4813693478</v>
      </c>
      <c r="Q56" s="573">
        <f>SUM(Q29:Q55)</f>
        <v>52200</v>
      </c>
      <c r="R56" s="277">
        <f t="shared" ref="R56:X56" si="52">SUM(R29:R55)</f>
        <v>1775419.4813693478</v>
      </c>
      <c r="S56" s="277">
        <f t="shared" si="52"/>
        <v>163483.45136934801</v>
      </c>
      <c r="T56" s="573">
        <f t="shared" si="52"/>
        <v>131826.29032475513</v>
      </c>
      <c r="U56" s="573">
        <f t="shared" si="52"/>
        <v>966</v>
      </c>
      <c r="V56" s="573">
        <f t="shared" si="52"/>
        <v>5912.9793894715003</v>
      </c>
      <c r="W56" s="573">
        <f t="shared" si="52"/>
        <v>91083.485031872478</v>
      </c>
      <c r="X56" s="573">
        <f t="shared" si="52"/>
        <v>229788.75474609909</v>
      </c>
      <c r="Y56" s="1">
        <f>+X56*'WP-11 - Non-Regulated'!$K$40</f>
        <v>127284.81273298073</v>
      </c>
    </row>
    <row r="57" spans="1:25">
      <c r="A57" s="269"/>
      <c r="D57" s="549"/>
      <c r="E57" s="549"/>
      <c r="F57" s="549"/>
      <c r="G57" s="714"/>
      <c r="I57" s="270"/>
      <c r="J57" s="270"/>
      <c r="K57" s="270"/>
      <c r="M57" s="540"/>
      <c r="N57" s="600"/>
      <c r="O57" s="600"/>
      <c r="P57" s="270"/>
      <c r="Q57" s="270"/>
      <c r="R57" s="270"/>
      <c r="S57" s="270"/>
      <c r="T57" s="270"/>
      <c r="U57" s="270"/>
      <c r="V57" s="270"/>
      <c r="W57" s="270"/>
      <c r="X57" s="270"/>
    </row>
    <row r="58" spans="1:25">
      <c r="A58" s="269">
        <f>'WP-2 - Labor Analysis'!A56</f>
        <v>60</v>
      </c>
      <c r="B58" s="2" t="s">
        <v>76</v>
      </c>
      <c r="C58" s="2" t="s">
        <v>78</v>
      </c>
      <c r="D58" s="549">
        <v>27.12</v>
      </c>
      <c r="E58" s="549">
        <v>29.4252</v>
      </c>
      <c r="F58" s="549"/>
      <c r="G58" s="714">
        <v>30.9</v>
      </c>
      <c r="I58" s="270">
        <f>'WP-2 - Labor Analysis'!Y56</f>
        <v>2140.92</v>
      </c>
      <c r="J58" s="270">
        <f>'WP-2 - Labor Analysis'!Z56</f>
        <v>63376.46</v>
      </c>
      <c r="K58" s="270"/>
      <c r="M58" s="540">
        <f>G58</f>
        <v>30.9</v>
      </c>
      <c r="N58" s="2">
        <f>(IF(I58&gt;2080,2080*M58,I58*M58))</f>
        <v>64272</v>
      </c>
      <c r="O58" s="2">
        <f t="shared" ref="O58" si="53">IF(I58&gt;2080,(+I58-2080)*1.5*M58,0)</f>
        <v>2823.6420000000035</v>
      </c>
      <c r="P58" s="270">
        <f t="shared" ref="P58:P61" si="54">+N58+O58</f>
        <v>67095.642000000007</v>
      </c>
      <c r="Q58" s="270">
        <v>2400</v>
      </c>
      <c r="R58" s="270">
        <f>+P58+Q58</f>
        <v>69495.642000000007</v>
      </c>
      <c r="S58" s="270">
        <f t="shared" ref="S58:S61" si="55">R58-J58</f>
        <v>6119.182000000008</v>
      </c>
      <c r="T58" s="270">
        <f>P58*0.0765</f>
        <v>5132.8166130000009</v>
      </c>
      <c r="U58" s="270">
        <f>IF(P58&gt;7000,7000*0.006,P58*0.006)</f>
        <v>42</v>
      </c>
      <c r="V58" s="270">
        <f t="shared" ref="V58:V62" si="56">IF(R58&gt;$V$6,$V$6*$V$7,+R58*$V$7)</f>
        <v>257.13387540000002</v>
      </c>
      <c r="W58" s="270">
        <f>$W$5*I58</f>
        <v>1992.5542440000002</v>
      </c>
      <c r="X58" s="270">
        <f t="shared" ref="X58:X62" si="57">+T58+U58+W58+V58</f>
        <v>7424.5047324000006</v>
      </c>
    </row>
    <row r="59" spans="1:25">
      <c r="A59" s="269">
        <f>'WP-2 - Labor Analysis'!A57</f>
        <v>61</v>
      </c>
      <c r="B59" s="2" t="s">
        <v>76</v>
      </c>
      <c r="C59" s="2" t="s">
        <v>78</v>
      </c>
      <c r="D59" s="549">
        <v>17</v>
      </c>
      <c r="E59" s="549">
        <v>18.445</v>
      </c>
      <c r="F59" s="549"/>
      <c r="G59" s="714">
        <v>20.5</v>
      </c>
      <c r="I59" s="270">
        <f>'WP-2 - Labor Analysis'!Y57</f>
        <v>2541.2000000000003</v>
      </c>
      <c r="J59" s="270">
        <f>'WP-2 - Labor Analysis'!Z57</f>
        <v>50215.37</v>
      </c>
      <c r="K59" s="270"/>
      <c r="M59" s="540">
        <f t="shared" ref="M59:M61" si="58">+G59</f>
        <v>20.5</v>
      </c>
      <c r="N59" s="2">
        <f t="shared" ref="N59" si="59">(IF(I59&gt;2080,2080*M59,I59*M59))</f>
        <v>42640</v>
      </c>
      <c r="O59" s="2">
        <f t="shared" ref="O59" si="60">IF(I59&gt;2080,(+I59-2080)*1.5*M59,0)</f>
        <v>14181.900000000009</v>
      </c>
      <c r="P59" s="270">
        <f t="shared" si="54"/>
        <v>56821.900000000009</v>
      </c>
      <c r="Q59" s="270">
        <v>2400</v>
      </c>
      <c r="R59" s="270">
        <f>+P59+Q59</f>
        <v>59221.900000000009</v>
      </c>
      <c r="S59" s="270">
        <f t="shared" si="55"/>
        <v>9006.5300000000061</v>
      </c>
      <c r="T59" s="270">
        <f>P59*0.0765</f>
        <v>4346.8753500000003</v>
      </c>
      <c r="U59" s="270">
        <f>IF(P59&gt;7000,7000*0.006,P59*0.006)</f>
        <v>42</v>
      </c>
      <c r="V59" s="270">
        <f t="shared" si="56"/>
        <v>219.12103000000005</v>
      </c>
      <c r="W59" s="270">
        <f>$W$5*I59</f>
        <v>2365.0948400000007</v>
      </c>
      <c r="X59" s="270">
        <f t="shared" si="57"/>
        <v>6973.0912200000012</v>
      </c>
    </row>
    <row r="60" spans="1:25">
      <c r="A60" s="269">
        <f>'WP-2 - Labor Analysis'!A58</f>
        <v>62</v>
      </c>
      <c r="B60" s="2" t="s">
        <v>76</v>
      </c>
      <c r="C60" s="2" t="s">
        <v>78</v>
      </c>
      <c r="D60" s="549">
        <v>17</v>
      </c>
      <c r="E60" s="549">
        <v>19.3079</v>
      </c>
      <c r="F60" s="549"/>
      <c r="G60" s="714">
        <v>21.15</v>
      </c>
      <c r="I60" s="270">
        <f>'WP-2 - Labor Analysis'!Y58</f>
        <v>2141.31</v>
      </c>
      <c r="J60" s="270">
        <f>'WP-2 - Labor Analysis'!Z58</f>
        <v>41209.67</v>
      </c>
      <c r="K60" s="270"/>
      <c r="M60" s="540">
        <f t="shared" si="58"/>
        <v>21.15</v>
      </c>
      <c r="N60" s="2">
        <f>(IF(I60&gt;2080,2080*M60,I60*M60))</f>
        <v>43992</v>
      </c>
      <c r="O60" s="2">
        <f>IF(I60&gt;2080,(+I60-2080)*1.5*M60,0)</f>
        <v>1945.0597499999981</v>
      </c>
      <c r="P60" s="270">
        <f>+N60+O60</f>
        <v>45937.05975</v>
      </c>
      <c r="Q60" s="270">
        <v>2400</v>
      </c>
      <c r="R60" s="270">
        <f t="shared" ref="R60:R62" si="61">+P60+Q60</f>
        <v>48337.05975</v>
      </c>
      <c r="S60" s="270">
        <f t="shared" si="55"/>
        <v>7127.3897500000021</v>
      </c>
      <c r="T60" s="270">
        <f>P60*0.0765</f>
        <v>3514.1850708749998</v>
      </c>
      <c r="U60" s="270">
        <f>IF(P60&gt;7000,7000*0.006,P60*0.006)</f>
        <v>42</v>
      </c>
      <c r="V60" s="270">
        <f t="shared" si="56"/>
        <v>178.84712107500002</v>
      </c>
      <c r="W60" s="270">
        <f t="shared" ref="W60" si="62">$W$5*I60</f>
        <v>1992.9172170000002</v>
      </c>
      <c r="X60" s="270">
        <f t="shared" si="57"/>
        <v>5727.9494089500004</v>
      </c>
    </row>
    <row r="61" spans="1:25">
      <c r="A61" s="269">
        <f>'WP-2 - Labor Analysis'!A59</f>
        <v>63</v>
      </c>
      <c r="B61" s="2" t="s">
        <v>76</v>
      </c>
      <c r="C61" s="2" t="s">
        <v>78</v>
      </c>
      <c r="D61" s="549">
        <v>19.32</v>
      </c>
      <c r="E61" s="549">
        <v>20.962199999999999</v>
      </c>
      <c r="F61" s="549"/>
      <c r="G61" s="714">
        <v>23</v>
      </c>
      <c r="I61" s="270">
        <f>'WP-2 - Labor Analysis'!Y59</f>
        <v>2394.04</v>
      </c>
      <c r="J61" s="270">
        <f>'WP-2 - Labor Analysis'!Z59</f>
        <v>52055.85</v>
      </c>
      <c r="K61" s="270"/>
      <c r="M61" s="540">
        <f t="shared" si="58"/>
        <v>23</v>
      </c>
      <c r="N61" s="2">
        <f>(IF(I61&gt;2080,2080*M61,I61*M61))</f>
        <v>47840</v>
      </c>
      <c r="O61" s="2">
        <f>IF(I61&gt;2080,(+I61-2080)*1.5*M61,0)</f>
        <v>10834.38</v>
      </c>
      <c r="P61" s="270">
        <f t="shared" si="54"/>
        <v>58674.38</v>
      </c>
      <c r="Q61" s="270">
        <v>2400</v>
      </c>
      <c r="R61" s="270">
        <f t="shared" si="61"/>
        <v>61074.38</v>
      </c>
      <c r="S61" s="270">
        <f t="shared" si="55"/>
        <v>9018.5299999999988</v>
      </c>
      <c r="T61" s="270">
        <f>P61*0.0765</f>
        <v>4488.5900699999993</v>
      </c>
      <c r="U61" s="270">
        <f>IF(P61&gt;7000,7000*0.006,P61*0.006)</f>
        <v>42</v>
      </c>
      <c r="V61" s="270">
        <f t="shared" si="56"/>
        <v>225.97520600000001</v>
      </c>
      <c r="W61" s="270">
        <v>0</v>
      </c>
      <c r="X61" s="270">
        <f t="shared" si="57"/>
        <v>4756.5652759999994</v>
      </c>
    </row>
    <row r="62" spans="1:25">
      <c r="A62" s="717">
        <f>'WP-2 - Labor Analysis'!A60</f>
        <v>64</v>
      </c>
      <c r="B62" s="2" t="s">
        <v>76</v>
      </c>
      <c r="C62" s="2" t="s">
        <v>78</v>
      </c>
      <c r="D62" s="549">
        <v>17</v>
      </c>
      <c r="E62" s="549">
        <v>17.579999999999998</v>
      </c>
      <c r="F62" s="549">
        <v>19.074300000000001</v>
      </c>
      <c r="G62" s="549"/>
      <c r="I62" s="270">
        <f>'WP-2 - Labor Analysis'!Y60</f>
        <v>840.69</v>
      </c>
      <c r="J62" s="270">
        <f>'WP-2 - Labor Analysis'!Z60</f>
        <v>15417.45</v>
      </c>
      <c r="K62" s="270"/>
      <c r="M62" s="540" t="s">
        <v>798</v>
      </c>
      <c r="N62" s="2">
        <f>(IF(K62&gt;2080,2080*M62,K62*M62))</f>
        <v>0</v>
      </c>
      <c r="O62" s="2">
        <f>IF(K62&gt;2080,(+K62-2080)*1.5*M62,0)</f>
        <v>0</v>
      </c>
      <c r="P62" s="270">
        <f>+N62+O62</f>
        <v>0</v>
      </c>
      <c r="Q62" s="270">
        <v>0</v>
      </c>
      <c r="R62" s="270">
        <f t="shared" si="61"/>
        <v>0</v>
      </c>
      <c r="S62" s="278">
        <f>R62-J62</f>
        <v>-15417.45</v>
      </c>
      <c r="T62" s="270">
        <f>P62*0.0765</f>
        <v>0</v>
      </c>
      <c r="U62" s="270">
        <f>IF(P62&gt;7000,7000*0.006,P62*0.006)</f>
        <v>0</v>
      </c>
      <c r="V62" s="270">
        <f t="shared" si="56"/>
        <v>0</v>
      </c>
      <c r="W62" s="270">
        <v>0</v>
      </c>
      <c r="X62" s="270">
        <f t="shared" si="57"/>
        <v>0</v>
      </c>
    </row>
    <row r="63" spans="1:25">
      <c r="A63" s="275" t="str">
        <f>+'WP-2 - Labor Analysis'!A61</f>
        <v>TRANSFER/RECYCLE</v>
      </c>
      <c r="D63" s="549"/>
      <c r="E63" s="549"/>
      <c r="F63" s="549"/>
      <c r="G63" s="714"/>
      <c r="I63" s="574">
        <f>SUM(I58:I62)</f>
        <v>10058.160000000002</v>
      </c>
      <c r="J63" s="574">
        <f>SUM(J58:J62)</f>
        <v>222274.80000000002</v>
      </c>
      <c r="K63" s="270"/>
      <c r="M63" s="540"/>
      <c r="N63" s="600"/>
      <c r="O63" s="600"/>
      <c r="P63" s="573">
        <f>SUM(P58:P62)</f>
        <v>228528.98175000004</v>
      </c>
      <c r="Q63" s="573">
        <f>SUM(Q58:Q62)</f>
        <v>9600</v>
      </c>
      <c r="R63" s="573">
        <f t="shared" ref="R63:X63" si="63">SUM(R58:R62)</f>
        <v>238128.98175000004</v>
      </c>
      <c r="S63" s="573">
        <f t="shared" si="63"/>
        <v>15854.181750000014</v>
      </c>
      <c r="T63" s="573">
        <f t="shared" si="63"/>
        <v>17482.467103874998</v>
      </c>
      <c r="U63" s="573">
        <f t="shared" si="63"/>
        <v>168</v>
      </c>
      <c r="V63" s="573">
        <f t="shared" si="63"/>
        <v>881.07723247500007</v>
      </c>
      <c r="W63" s="573">
        <f t="shared" si="63"/>
        <v>6350.5663010000007</v>
      </c>
      <c r="X63" s="573">
        <f t="shared" si="63"/>
        <v>24882.110637350001</v>
      </c>
      <c r="Y63" s="1">
        <f>+X63*'WP-9 - Disposal Fees'!S20</f>
        <v>8288.997533372758</v>
      </c>
    </row>
    <row r="64" spans="1:25">
      <c r="A64" s="269"/>
      <c r="D64" s="549"/>
      <c r="E64" s="549"/>
      <c r="F64" s="549"/>
      <c r="G64" s="714"/>
      <c r="I64" s="270"/>
      <c r="J64" s="270"/>
      <c r="K64" s="270"/>
      <c r="M64" s="540"/>
      <c r="N64" s="2"/>
      <c r="O64" s="2"/>
      <c r="P64" s="270"/>
      <c r="Q64" s="270"/>
      <c r="R64" s="270"/>
      <c r="S64" s="270"/>
      <c r="T64" s="270"/>
      <c r="U64" s="270"/>
      <c r="V64" s="270"/>
      <c r="W64" s="270"/>
      <c r="X64" s="270"/>
    </row>
    <row r="65" spans="1:25">
      <c r="A65" s="269">
        <f>'WP-2 - Labor Analysis'!A63</f>
        <v>70</v>
      </c>
      <c r="B65" s="2" t="s">
        <v>76</v>
      </c>
      <c r="C65" s="2" t="s">
        <v>78</v>
      </c>
      <c r="D65" s="549">
        <v>24</v>
      </c>
      <c r="E65" s="549"/>
      <c r="F65" s="549"/>
      <c r="G65" s="714"/>
      <c r="I65" s="270">
        <f>'WP-2 - Labor Analysis'!Y63</f>
        <v>518.58999999999992</v>
      </c>
      <c r="J65" s="270">
        <f>'WP-2 - Labor Analysis'!Z63</f>
        <v>12475.56</v>
      </c>
      <c r="K65" s="270"/>
      <c r="M65" s="540" t="s">
        <v>798</v>
      </c>
      <c r="N65" s="2">
        <f t="shared" ref="N65:N67" si="64">(IF(I65&gt;2080,2080*M65,I65*M65))</f>
        <v>0</v>
      </c>
      <c r="O65" s="2">
        <f t="shared" ref="O65:O67" si="65">IF(I65&gt;2080,(+I65-2080)*1.5*M65,0)</f>
        <v>0</v>
      </c>
      <c r="P65" s="270">
        <f t="shared" ref="P65:P67" si="66">+N65+O65</f>
        <v>0</v>
      </c>
      <c r="Q65" s="270"/>
      <c r="R65" s="270">
        <f>+P65+Q65</f>
        <v>0</v>
      </c>
      <c r="S65" s="270">
        <f t="shared" ref="S65:S68" si="67">R65-J65</f>
        <v>-12475.56</v>
      </c>
      <c r="T65" s="270">
        <f>P65*0.0765</f>
        <v>0</v>
      </c>
      <c r="U65" s="270">
        <f>IF(P65&gt;7000,7000*0.006,P65*0.006)</f>
        <v>0</v>
      </c>
      <c r="V65" s="270"/>
      <c r="W65" s="270">
        <v>0</v>
      </c>
      <c r="X65" s="270">
        <f>+T65+U65+W65+V65</f>
        <v>0</v>
      </c>
    </row>
    <row r="66" spans="1:25">
      <c r="A66" s="269">
        <f>'WP-2 - Labor Analysis'!A64</f>
        <v>71</v>
      </c>
      <c r="B66" s="2" t="s">
        <v>76</v>
      </c>
      <c r="C66" s="2" t="s">
        <v>78</v>
      </c>
      <c r="D66" s="549">
        <v>37.980800000000002</v>
      </c>
      <c r="E66" s="549">
        <v>41.201900000000002</v>
      </c>
      <c r="F66" s="549"/>
      <c r="G66" s="714">
        <v>43.262</v>
      </c>
      <c r="I66" s="270">
        <f>'WP-2 - Labor Analysis'!Y64</f>
        <v>2631.51</v>
      </c>
      <c r="J66" s="270">
        <f>'WP-2 - Labor Analysis'!Z64</f>
        <v>117447.16</v>
      </c>
      <c r="K66" s="270"/>
      <c r="M66" s="540">
        <f t="shared" ref="M66" si="68">+G66</f>
        <v>43.262</v>
      </c>
      <c r="N66" s="2">
        <f t="shared" si="64"/>
        <v>89984.960000000006</v>
      </c>
      <c r="O66" s="2">
        <f t="shared" si="65"/>
        <v>35789.138430000014</v>
      </c>
      <c r="P66" s="270">
        <f t="shared" si="66"/>
        <v>125774.09843000001</v>
      </c>
      <c r="Q66" s="270">
        <v>2400</v>
      </c>
      <c r="R66" s="270">
        <f>+P66+Q66</f>
        <v>128174.09843000001</v>
      </c>
      <c r="S66" s="270">
        <f t="shared" si="67"/>
        <v>10726.938430000009</v>
      </c>
      <c r="T66" s="270">
        <f>P66*0.0765</f>
        <v>9621.7185298950008</v>
      </c>
      <c r="U66" s="270">
        <f>IF(P66&gt;7000,7000*0.006,P66*0.006)</f>
        <v>42</v>
      </c>
      <c r="V66" s="270">
        <f t="shared" ref="V66:V68" si="69">IF(R66&gt;$V$6,$V$6*$V$7,+R66*$V$7)</f>
        <v>269.36</v>
      </c>
      <c r="W66" s="270">
        <f>$W$5*I66</f>
        <v>2449.1463570000005</v>
      </c>
      <c r="X66" s="270">
        <f>+T66+U66+W66+V66</f>
        <v>12382.224886895001</v>
      </c>
    </row>
    <row r="67" spans="1:25">
      <c r="A67" s="717">
        <f>'WP-2 - Labor Analysis'!A65</f>
        <v>72</v>
      </c>
      <c r="B67" s="2" t="s">
        <v>76</v>
      </c>
      <c r="C67" s="2" t="s">
        <v>78</v>
      </c>
      <c r="D67" s="549">
        <v>34.770000000000003</v>
      </c>
      <c r="E67" s="549">
        <v>37.725499999999997</v>
      </c>
      <c r="F67" s="549"/>
      <c r="G67" s="714"/>
      <c r="I67" s="270">
        <f>'WP-2 - Labor Analysis'!Y65</f>
        <v>2698.67</v>
      </c>
      <c r="J67" s="270">
        <f>'WP-2 - Labor Analysis'!Z65</f>
        <v>110626.93</v>
      </c>
      <c r="K67" s="270"/>
      <c r="M67" s="540" t="s">
        <v>798</v>
      </c>
      <c r="N67" s="2">
        <f t="shared" si="64"/>
        <v>0</v>
      </c>
      <c r="O67" s="2">
        <f t="shared" si="65"/>
        <v>0</v>
      </c>
      <c r="P67" s="270">
        <f t="shared" si="66"/>
        <v>0</v>
      </c>
      <c r="Q67" s="270"/>
      <c r="R67" s="270">
        <f>+P67+Q67</f>
        <v>0</v>
      </c>
      <c r="S67" s="270">
        <f t="shared" si="67"/>
        <v>-110626.93</v>
      </c>
      <c r="T67" s="270">
        <f>P67*0.0765</f>
        <v>0</v>
      </c>
      <c r="U67" s="270">
        <f>IF(P67&gt;7000,7000*0.006,P67*0.006)</f>
        <v>0</v>
      </c>
      <c r="V67" s="270">
        <f t="shared" si="69"/>
        <v>0</v>
      </c>
      <c r="W67" s="270">
        <v>0</v>
      </c>
      <c r="X67" s="270">
        <f>+T67+U67+W67+V67</f>
        <v>0</v>
      </c>
    </row>
    <row r="68" spans="1:25">
      <c r="A68" s="717">
        <f>'WP-2 - Labor Analysis'!A66</f>
        <v>73</v>
      </c>
      <c r="B68" s="2" t="s">
        <v>76</v>
      </c>
      <c r="C68" s="2" t="s">
        <v>78</v>
      </c>
      <c r="D68" s="549">
        <v>31.951899999999998</v>
      </c>
      <c r="E68" s="549"/>
      <c r="F68" s="549"/>
      <c r="G68" s="549"/>
      <c r="I68" s="270">
        <f>'WP-2 - Labor Analysis'!Y66</f>
        <v>540.05999999999995</v>
      </c>
      <c r="J68" s="270">
        <f>'WP-2 - Labor Analysis'!Z66</f>
        <v>17494</v>
      </c>
      <c r="K68" s="270"/>
      <c r="M68" s="540" t="s">
        <v>798</v>
      </c>
      <c r="N68" s="2">
        <f t="shared" ref="N68" si="70">(IF(K68&gt;2080,2080*M68,K68*M68))</f>
        <v>0</v>
      </c>
      <c r="O68" s="2">
        <f t="shared" ref="O68" si="71">IF(K68&gt;2080,(+K68-2080)*1.5*M68,0)</f>
        <v>0</v>
      </c>
      <c r="P68" s="270">
        <f t="shared" ref="P68" si="72">+N68+O68</f>
        <v>0</v>
      </c>
      <c r="Q68" s="270"/>
      <c r="R68" s="270">
        <f>+P68+Q68</f>
        <v>0</v>
      </c>
      <c r="S68" s="270">
        <f t="shared" si="67"/>
        <v>-17494</v>
      </c>
      <c r="T68" s="270">
        <f>P68*0.0765</f>
        <v>0</v>
      </c>
      <c r="U68" s="270">
        <f>IF(P68&gt;7000,7000*0.006,P68*0.006)</f>
        <v>0</v>
      </c>
      <c r="V68" s="270">
        <f t="shared" si="69"/>
        <v>0</v>
      </c>
      <c r="W68" s="270">
        <f>$W$5*K68</f>
        <v>0</v>
      </c>
      <c r="X68" s="270">
        <f>+T68+U68+W68+V68</f>
        <v>0</v>
      </c>
    </row>
    <row r="69" spans="1:25">
      <c r="A69" s="275" t="str">
        <f>+'WP-2 - Labor Analysis'!A67</f>
        <v>MECHANICS</v>
      </c>
      <c r="D69" s="549"/>
      <c r="E69" s="549"/>
      <c r="F69" s="549"/>
      <c r="G69" s="549"/>
      <c r="I69" s="574">
        <f>SUM(I65:I68)</f>
        <v>6388.83</v>
      </c>
      <c r="J69" s="574">
        <f>SUM(J65:J68)</f>
        <v>258043.65</v>
      </c>
      <c r="K69" s="270"/>
      <c r="M69" s="540"/>
      <c r="N69" s="600"/>
      <c r="O69" s="600"/>
      <c r="P69" s="573">
        <f>SUM(P65:P68)</f>
        <v>125774.09843000001</v>
      </c>
      <c r="Q69" s="573">
        <f>SUM(Q65:Q68)</f>
        <v>2400</v>
      </c>
      <c r="R69" s="573">
        <f t="shared" ref="R69:X69" si="73">SUM(R65:R68)</f>
        <v>128174.09843000001</v>
      </c>
      <c r="S69" s="573">
        <f t="shared" si="73"/>
        <v>-129869.55156999998</v>
      </c>
      <c r="T69" s="573">
        <f t="shared" si="73"/>
        <v>9621.7185298950008</v>
      </c>
      <c r="U69" s="573">
        <f t="shared" si="73"/>
        <v>42</v>
      </c>
      <c r="V69" s="573">
        <f t="shared" si="73"/>
        <v>269.36</v>
      </c>
      <c r="W69" s="573">
        <f t="shared" si="73"/>
        <v>2449.1463570000005</v>
      </c>
      <c r="X69" s="573">
        <f t="shared" si="73"/>
        <v>12382.224886895001</v>
      </c>
      <c r="Y69" s="1">
        <f>+X69*'WP-11 - Non-Regulated'!$K$40</f>
        <v>6858.7741714668882</v>
      </c>
    </row>
    <row r="70" spans="1:25">
      <c r="A70" s="269"/>
      <c r="D70" s="549"/>
      <c r="E70" s="549"/>
      <c r="F70" s="549"/>
      <c r="G70" s="549"/>
      <c r="I70" s="270"/>
      <c r="J70" s="270"/>
      <c r="K70" s="270"/>
      <c r="M70" s="540"/>
      <c r="N70" s="2"/>
      <c r="O70" s="2"/>
      <c r="P70" s="270"/>
      <c r="Q70" s="270"/>
      <c r="R70" s="270"/>
      <c r="S70" s="270"/>
      <c r="T70" s="270"/>
      <c r="U70" s="270"/>
      <c r="V70" s="270"/>
      <c r="W70" s="270"/>
      <c r="X70" s="270"/>
    </row>
    <row r="71" spans="1:25">
      <c r="A71" s="269">
        <f>+'WP-2 - Labor Analysis'!A69</f>
        <v>80</v>
      </c>
      <c r="B71" s="2" t="s">
        <v>76</v>
      </c>
      <c r="C71" s="2" t="s">
        <v>78</v>
      </c>
      <c r="D71" s="549">
        <v>17</v>
      </c>
      <c r="E71" s="549"/>
      <c r="F71" s="549"/>
      <c r="G71" s="549">
        <v>18</v>
      </c>
      <c r="I71" s="270">
        <f>+'WP-2 - Labor Analysis'!Y69</f>
        <v>253.22</v>
      </c>
      <c r="J71" s="270">
        <f>+'WP-2 - Labor Analysis'!Z69</f>
        <v>4477.71</v>
      </c>
      <c r="K71" s="270"/>
      <c r="M71" s="540" t="s">
        <v>798</v>
      </c>
      <c r="N71" s="2">
        <f>(IF(I71&gt;2080,2080*M71,I71*M71))</f>
        <v>0</v>
      </c>
      <c r="O71" s="2">
        <f t="shared" ref="O71:O74" si="74">IF(I71&gt;2080,(+I71-2080)*1.5*M71,0)</f>
        <v>0</v>
      </c>
      <c r="P71" s="270">
        <f>+N71+O71</f>
        <v>0</v>
      </c>
      <c r="Q71" s="270"/>
      <c r="R71" s="270">
        <f>+P71+Q71</f>
        <v>0</v>
      </c>
      <c r="S71" s="270">
        <f>R71-J71</f>
        <v>-4477.71</v>
      </c>
      <c r="T71" s="270">
        <f t="shared" ref="T71:T81" si="75">P71*0.0765</f>
        <v>0</v>
      </c>
      <c r="U71" s="270">
        <f t="shared" ref="U71:U81" si="76">IF(P71&gt;7000,7000*0.006,P71*0.006)</f>
        <v>0</v>
      </c>
      <c r="V71" s="270">
        <f t="shared" ref="V71:V80" si="77">IF(R71&gt;$V$6,$V$6*$V$7,+R71*$V$7)</f>
        <v>0</v>
      </c>
      <c r="W71" s="270">
        <f t="shared" ref="W71:W74" si="78">$W$6*K71</f>
        <v>0</v>
      </c>
      <c r="X71" s="270">
        <f t="shared" ref="X71:X76" si="79">+T71+U71+W71+V71</f>
        <v>0</v>
      </c>
    </row>
    <row r="72" spans="1:25">
      <c r="A72" s="269">
        <f>+'WP-2 - Labor Analysis'!A70</f>
        <v>81</v>
      </c>
      <c r="B72" s="2" t="s">
        <v>76</v>
      </c>
      <c r="C72" s="2" t="s">
        <v>78</v>
      </c>
      <c r="D72" s="549">
        <v>21</v>
      </c>
      <c r="E72" s="549"/>
      <c r="F72" s="549"/>
      <c r="G72" s="549"/>
      <c r="I72" s="270">
        <f>+'WP-2 - Labor Analysis'!Y70</f>
        <v>436.78</v>
      </c>
      <c r="J72" s="270">
        <f>+'WP-2 - Labor Analysis'!Z70</f>
        <v>9745.14</v>
      </c>
      <c r="K72" s="270"/>
      <c r="M72" s="540" t="s">
        <v>798</v>
      </c>
      <c r="N72" s="2">
        <f t="shared" ref="N72:N74" si="80">(IF(I72&gt;2080,2080*M72,I72*M72))</f>
        <v>0</v>
      </c>
      <c r="O72" s="2">
        <f t="shared" si="74"/>
        <v>0</v>
      </c>
      <c r="P72" s="270">
        <f t="shared" ref="P72:P76" si="81">+N72+O72</f>
        <v>0</v>
      </c>
      <c r="Q72" s="270"/>
      <c r="R72" s="270">
        <f t="shared" ref="R72:R76" si="82">+P72+Q72</f>
        <v>0</v>
      </c>
      <c r="S72" s="270">
        <f t="shared" ref="S72:S76" si="83">R72-J72</f>
        <v>-9745.14</v>
      </c>
      <c r="T72" s="270">
        <f t="shared" si="75"/>
        <v>0</v>
      </c>
      <c r="U72" s="270">
        <f t="shared" si="76"/>
        <v>0</v>
      </c>
      <c r="V72" s="270">
        <f t="shared" si="77"/>
        <v>0</v>
      </c>
      <c r="W72" s="270">
        <f t="shared" si="78"/>
        <v>0</v>
      </c>
      <c r="X72" s="270">
        <f t="shared" si="79"/>
        <v>0</v>
      </c>
    </row>
    <row r="73" spans="1:25">
      <c r="A73" s="269">
        <f>+'WP-2 - Labor Analysis'!A71</f>
        <v>82</v>
      </c>
      <c r="B73" s="2" t="s">
        <v>76</v>
      </c>
      <c r="C73" s="2" t="s">
        <v>78</v>
      </c>
      <c r="D73" s="549">
        <v>32</v>
      </c>
      <c r="E73" s="549"/>
      <c r="F73" s="549"/>
      <c r="G73" s="549"/>
      <c r="I73" s="270">
        <f>+'WP-2 - Labor Analysis'!Y71</f>
        <v>467.28999999999996</v>
      </c>
      <c r="J73" s="270">
        <f>+'WP-2 - Labor Analysis'!Z71</f>
        <v>15434.72</v>
      </c>
      <c r="K73" s="270"/>
      <c r="M73" s="540" t="s">
        <v>798</v>
      </c>
      <c r="N73" s="2">
        <f t="shared" si="80"/>
        <v>0</v>
      </c>
      <c r="O73" s="2">
        <f t="shared" si="74"/>
        <v>0</v>
      </c>
      <c r="P73" s="270">
        <f t="shared" si="81"/>
        <v>0</v>
      </c>
      <c r="Q73" s="270"/>
      <c r="R73" s="270">
        <f t="shared" si="82"/>
        <v>0</v>
      </c>
      <c r="S73" s="270">
        <f t="shared" si="83"/>
        <v>-15434.72</v>
      </c>
      <c r="T73" s="270">
        <f t="shared" si="75"/>
        <v>0</v>
      </c>
      <c r="U73" s="270">
        <f t="shared" si="76"/>
        <v>0</v>
      </c>
      <c r="V73" s="270">
        <f t="shared" si="77"/>
        <v>0</v>
      </c>
      <c r="W73" s="270">
        <f t="shared" si="78"/>
        <v>0</v>
      </c>
      <c r="X73" s="270">
        <f t="shared" si="79"/>
        <v>0</v>
      </c>
    </row>
    <row r="74" spans="1:25">
      <c r="A74" s="269">
        <f>+'WP-2 - Labor Analysis'!A72</f>
        <v>83</v>
      </c>
      <c r="B74" s="2" t="s">
        <v>76</v>
      </c>
      <c r="C74" s="2" t="s">
        <v>78</v>
      </c>
      <c r="D74" s="549">
        <v>18</v>
      </c>
      <c r="E74" s="549"/>
      <c r="F74" s="549"/>
      <c r="G74" s="549"/>
      <c r="I74" s="270">
        <f>+'WP-2 - Labor Analysis'!Y72</f>
        <v>326.74</v>
      </c>
      <c r="J74" s="270">
        <f>+'WP-2 - Labor Analysis'!Z72</f>
        <v>5889.87</v>
      </c>
      <c r="K74" s="270"/>
      <c r="M74" s="540" t="s">
        <v>798</v>
      </c>
      <c r="N74" s="2">
        <f t="shared" si="80"/>
        <v>0</v>
      </c>
      <c r="O74" s="2">
        <f t="shared" si="74"/>
        <v>0</v>
      </c>
      <c r="P74" s="270">
        <f t="shared" si="81"/>
        <v>0</v>
      </c>
      <c r="Q74" s="270"/>
      <c r="R74" s="270">
        <f t="shared" si="82"/>
        <v>0</v>
      </c>
      <c r="S74" s="270">
        <f t="shared" si="83"/>
        <v>-5889.87</v>
      </c>
      <c r="T74" s="270">
        <f t="shared" si="75"/>
        <v>0</v>
      </c>
      <c r="U74" s="270">
        <f t="shared" si="76"/>
        <v>0</v>
      </c>
      <c r="V74" s="270">
        <f t="shared" si="77"/>
        <v>0</v>
      </c>
      <c r="W74" s="270">
        <f t="shared" si="78"/>
        <v>0</v>
      </c>
      <c r="X74" s="270">
        <f t="shared" si="79"/>
        <v>0</v>
      </c>
    </row>
    <row r="75" spans="1:25">
      <c r="A75" s="269">
        <f>+'WP-2 - Labor Analysis'!A73</f>
        <v>84</v>
      </c>
      <c r="B75" s="2" t="s">
        <v>76</v>
      </c>
      <c r="C75" s="2" t="s">
        <v>78</v>
      </c>
      <c r="D75" s="549">
        <v>24</v>
      </c>
      <c r="E75" s="549">
        <v>25</v>
      </c>
      <c r="F75" s="549"/>
      <c r="G75" s="549">
        <v>28</v>
      </c>
      <c r="I75" s="270">
        <f>+'WP-2 - Labor Analysis'!Y73</f>
        <v>577.86</v>
      </c>
      <c r="J75" s="270">
        <f>+'WP-2 - Labor Analysis'!Z73</f>
        <v>14269.4</v>
      </c>
      <c r="K75" s="270">
        <f>1981.95/(23/26)</f>
        <v>2240.4652173913046</v>
      </c>
      <c r="M75" s="540">
        <f t="shared" ref="M75" si="84">+G75</f>
        <v>28</v>
      </c>
      <c r="N75" s="2">
        <f>(IF(K75&gt;2080,2080*M75,K75*M75))</f>
        <v>58240</v>
      </c>
      <c r="O75" s="2">
        <f>IF(K75&gt;2080,(+K75-2080)*1.5*M75,0)</f>
        <v>6739.5391304347922</v>
      </c>
      <c r="P75" s="270">
        <f t="shared" si="81"/>
        <v>64979.539130434794</v>
      </c>
      <c r="Q75" s="270">
        <v>2400</v>
      </c>
      <c r="R75" s="270">
        <f t="shared" si="82"/>
        <v>67379.539130434801</v>
      </c>
      <c r="S75" s="270">
        <f t="shared" si="83"/>
        <v>53110.1391304348</v>
      </c>
      <c r="T75" s="270">
        <f>P75*0.0765</f>
        <v>4970.9347434782612</v>
      </c>
      <c r="U75" s="270">
        <f t="shared" si="76"/>
        <v>42</v>
      </c>
      <c r="V75" s="270">
        <f t="shared" si="77"/>
        <v>249.30429478260876</v>
      </c>
      <c r="W75" s="270">
        <f>$W$6*K75</f>
        <v>3953.7489691304349</v>
      </c>
      <c r="X75" s="270">
        <f>+T75+U75+W75+V75</f>
        <v>9215.9880073913046</v>
      </c>
    </row>
    <row r="76" spans="1:25">
      <c r="A76" s="269">
        <f>+'WP-2 - Labor Analysis'!A74</f>
        <v>85</v>
      </c>
      <c r="B76" s="2" t="s">
        <v>76</v>
      </c>
      <c r="C76" s="2" t="s">
        <v>78</v>
      </c>
      <c r="D76" s="549">
        <v>18</v>
      </c>
      <c r="E76" s="549">
        <v>20</v>
      </c>
      <c r="F76" s="549"/>
      <c r="G76" s="549">
        <v>21</v>
      </c>
      <c r="H76" s="4"/>
      <c r="I76" s="270">
        <f>+'WP-2 - Labor Analysis'!Y74</f>
        <v>1115.33</v>
      </c>
      <c r="J76" s="270">
        <f>+'WP-2 - Labor Analysis'!Z74</f>
        <v>20839.25</v>
      </c>
      <c r="K76" s="1">
        <f>1962.59/(0.884615384615385)</f>
        <v>2218.58</v>
      </c>
      <c r="M76" s="540">
        <f>+G76</f>
        <v>21</v>
      </c>
      <c r="N76" s="2">
        <f t="shared" ref="N76" si="85">(IF(K76&gt;2080,2080*M76,K76*M76))</f>
        <v>43680</v>
      </c>
      <c r="O76" s="2">
        <f t="shared" ref="O76:O77" si="86">IF(K76&gt;2080,(+K76-2080)*1.5*M76,0)</f>
        <v>4365.2699999999977</v>
      </c>
      <c r="P76" s="270">
        <f t="shared" si="81"/>
        <v>48045.27</v>
      </c>
      <c r="Q76" s="270">
        <v>2400</v>
      </c>
      <c r="R76" s="270">
        <f t="shared" si="82"/>
        <v>50445.27</v>
      </c>
      <c r="S76" s="270">
        <f t="shared" si="83"/>
        <v>29606.019999999997</v>
      </c>
      <c r="T76" s="270">
        <f t="shared" si="75"/>
        <v>3675.4631549999995</v>
      </c>
      <c r="U76" s="270">
        <f t="shared" si="76"/>
        <v>42</v>
      </c>
      <c r="V76" s="270">
        <f t="shared" si="77"/>
        <v>186.64749900000001</v>
      </c>
      <c r="W76" s="270">
        <f>$W$6*K76</f>
        <v>3915.1281259999996</v>
      </c>
      <c r="X76" s="270">
        <f t="shared" si="79"/>
        <v>7819.2387799999988</v>
      </c>
    </row>
    <row r="77" spans="1:25">
      <c r="A77" s="269">
        <f>+'WP-2 - Labor Analysis'!A75</f>
        <v>86</v>
      </c>
      <c r="B77" s="2" t="s">
        <v>76</v>
      </c>
      <c r="C77" s="2" t="s">
        <v>78</v>
      </c>
      <c r="D77" s="549">
        <v>18</v>
      </c>
      <c r="E77" s="549"/>
      <c r="F77" s="549"/>
      <c r="G77" s="549">
        <v>22</v>
      </c>
      <c r="I77" s="270">
        <f>+'WP-2 - Labor Analysis'!Y75</f>
        <v>546.38</v>
      </c>
      <c r="J77" s="270">
        <f>+'WP-2 - Labor Analysis'!Z75</f>
        <v>10124.57</v>
      </c>
      <c r="K77" s="1">
        <f>1815.4/(23/26)</f>
        <v>2052.1913043478262</v>
      </c>
      <c r="M77" s="540">
        <f t="shared" ref="M77:M79" si="87">+G77</f>
        <v>22</v>
      </c>
      <c r="N77" s="2">
        <f>(IF(K77&gt;2080,2080*M77,K77*M77))</f>
        <v>45148.208695652174</v>
      </c>
      <c r="O77" s="2">
        <f t="shared" si="86"/>
        <v>0</v>
      </c>
      <c r="P77" s="270">
        <f t="shared" ref="P77" si="88">+N77+O77</f>
        <v>45148.208695652174</v>
      </c>
      <c r="Q77" s="270">
        <v>2400</v>
      </c>
      <c r="R77" s="270">
        <f t="shared" ref="R77" si="89">+P77+Q77</f>
        <v>47548.208695652174</v>
      </c>
      <c r="S77" s="270">
        <f t="shared" ref="S77" si="90">R77-J77</f>
        <v>37423.638695652175</v>
      </c>
      <c r="T77" s="270">
        <f t="shared" si="75"/>
        <v>3453.8379652173912</v>
      </c>
      <c r="U77" s="270">
        <f t="shared" si="76"/>
        <v>42</v>
      </c>
      <c r="V77" s="270">
        <f t="shared" si="77"/>
        <v>175.92837217391306</v>
      </c>
      <c r="W77" s="270">
        <f t="shared" ref="W77:W81" si="91">$W$6*K77</f>
        <v>3621.5019947826086</v>
      </c>
      <c r="X77" s="270">
        <f t="shared" ref="X77" si="92">+T77+U77+W77+V77</f>
        <v>7293.2683321739123</v>
      </c>
    </row>
    <row r="78" spans="1:25">
      <c r="A78" s="269">
        <v>87</v>
      </c>
      <c r="B78" s="2" t="s">
        <v>76</v>
      </c>
      <c r="C78" s="2" t="s">
        <v>78</v>
      </c>
      <c r="D78" s="549" t="s">
        <v>798</v>
      </c>
      <c r="E78" s="549">
        <v>36</v>
      </c>
      <c r="F78" s="549"/>
      <c r="G78" s="549">
        <v>36.58</v>
      </c>
      <c r="I78" s="270">
        <v>0</v>
      </c>
      <c r="J78" s="270">
        <v>0</v>
      </c>
      <c r="K78" s="1">
        <f>1516.56/(0.692307692307692)</f>
        <v>2190.5866666666666</v>
      </c>
      <c r="M78" s="540">
        <f t="shared" si="87"/>
        <v>36.58</v>
      </c>
      <c r="N78" s="2">
        <f t="shared" ref="N78:N81" si="93">(IF(K78&gt;2080,2080*M78,K78*M78))</f>
        <v>76086.399999999994</v>
      </c>
      <c r="O78" s="2">
        <f t="shared" ref="O78:O81" si="94">IF(K78&gt;2080,(+K78-2080)*1.5*M78,0)</f>
        <v>6067.8903999999957</v>
      </c>
      <c r="P78" s="270">
        <f t="shared" ref="P78:P81" si="95">+N78+O78</f>
        <v>82154.290399999983</v>
      </c>
      <c r="Q78" s="270"/>
      <c r="R78" s="270">
        <f t="shared" ref="R78:R81" si="96">+P78+Q78</f>
        <v>82154.290399999983</v>
      </c>
      <c r="S78" s="270">
        <f t="shared" ref="S78:S81" si="97">R78-J78</f>
        <v>82154.290399999983</v>
      </c>
      <c r="T78" s="270">
        <f t="shared" si="75"/>
        <v>6284.803215599999</v>
      </c>
      <c r="U78" s="270">
        <f t="shared" si="76"/>
        <v>42</v>
      </c>
      <c r="V78" s="270">
        <f t="shared" si="77"/>
        <v>269.36</v>
      </c>
      <c r="W78" s="270">
        <f>$W$6*K78</f>
        <v>3865.7282906666665</v>
      </c>
      <c r="X78" s="270">
        <f t="shared" ref="X78:X81" si="98">+T78+U78+W78+V78</f>
        <v>10461.891506266666</v>
      </c>
    </row>
    <row r="79" spans="1:25">
      <c r="A79" s="269">
        <v>88</v>
      </c>
      <c r="B79" s="2" t="s">
        <v>76</v>
      </c>
      <c r="C79" s="2" t="s">
        <v>78</v>
      </c>
      <c r="D79" s="549" t="s">
        <v>798</v>
      </c>
      <c r="E79" s="549"/>
      <c r="F79" s="549"/>
      <c r="G79" s="549">
        <v>28</v>
      </c>
      <c r="I79" s="270">
        <v>0</v>
      </c>
      <c r="J79" s="270">
        <v>0</v>
      </c>
      <c r="K79" s="1">
        <f>1327.8/(0.576923076923077)</f>
        <v>2301.52</v>
      </c>
      <c r="M79" s="540">
        <f t="shared" si="87"/>
        <v>28</v>
      </c>
      <c r="N79" s="2">
        <f t="shared" si="93"/>
        <v>58240</v>
      </c>
      <c r="O79" s="2">
        <f t="shared" si="94"/>
        <v>9303.84</v>
      </c>
      <c r="P79" s="270">
        <f t="shared" si="95"/>
        <v>67543.839999999997</v>
      </c>
      <c r="Q79" s="270"/>
      <c r="R79" s="270">
        <f t="shared" si="96"/>
        <v>67543.839999999997</v>
      </c>
      <c r="S79" s="270">
        <f t="shared" si="97"/>
        <v>67543.839999999997</v>
      </c>
      <c r="T79" s="270">
        <f>P79*0.0765</f>
        <v>5167.10376</v>
      </c>
      <c r="U79" s="270">
        <f t="shared" si="76"/>
        <v>42</v>
      </c>
      <c r="V79" s="270">
        <f t="shared" si="77"/>
        <v>249.91220799999999</v>
      </c>
      <c r="W79" s="270">
        <f t="shared" si="91"/>
        <v>4061.4923439999998</v>
      </c>
      <c r="X79" s="270">
        <f t="shared" si="98"/>
        <v>9520.5083119999999</v>
      </c>
    </row>
    <row r="80" spans="1:25">
      <c r="A80" s="269">
        <v>89</v>
      </c>
      <c r="B80" s="2" t="s">
        <v>76</v>
      </c>
      <c r="C80" s="2" t="s">
        <v>78</v>
      </c>
      <c r="D80" s="549" t="s">
        <v>798</v>
      </c>
      <c r="E80" s="549"/>
      <c r="F80" s="549"/>
      <c r="G80" s="549">
        <v>29</v>
      </c>
      <c r="I80" s="270">
        <v>0</v>
      </c>
      <c r="J80" s="270">
        <v>0</v>
      </c>
      <c r="K80" s="1">
        <f>310.87/(0.153846153846154)</f>
        <v>2020.655</v>
      </c>
      <c r="M80" s="540">
        <f t="shared" ref="M80" si="99">+G80</f>
        <v>29</v>
      </c>
      <c r="N80" s="2">
        <f t="shared" ref="N80" si="100">(IF(K80&gt;2080,2080*M80,K80*M80))</f>
        <v>58598.995000000003</v>
      </c>
      <c r="O80" s="2">
        <f t="shared" ref="O80" si="101">IF(K80&gt;2080,(+K80-2080)*1.5*M80,0)</f>
        <v>0</v>
      </c>
      <c r="P80" s="270">
        <f t="shared" ref="P80" si="102">+N80+O80</f>
        <v>58598.995000000003</v>
      </c>
      <c r="Q80" s="270">
        <v>15000</v>
      </c>
      <c r="R80" s="270">
        <f t="shared" ref="R80" si="103">+P80+Q80</f>
        <v>73598.994999999995</v>
      </c>
      <c r="S80" s="270">
        <f t="shared" ref="S80" si="104">R80-J80</f>
        <v>73598.994999999995</v>
      </c>
      <c r="T80" s="270">
        <f t="shared" ref="T80" si="105">P80*0.0765</f>
        <v>4482.8231175000001</v>
      </c>
      <c r="U80" s="270">
        <f t="shared" ref="U80" si="106">IF(P80&gt;7000,7000*0.006,P80*0.006)</f>
        <v>42</v>
      </c>
      <c r="V80" s="270">
        <f t="shared" si="77"/>
        <v>269.36</v>
      </c>
      <c r="W80" s="270">
        <f t="shared" si="91"/>
        <v>3565.8498784999997</v>
      </c>
      <c r="X80" s="270">
        <f t="shared" ref="X80" si="107">+T80+U80+W80+V80</f>
        <v>8360.0329959999999</v>
      </c>
    </row>
    <row r="81" spans="1:29">
      <c r="A81" s="269">
        <v>90</v>
      </c>
      <c r="B81" s="2" t="s">
        <v>76</v>
      </c>
      <c r="C81" s="2" t="s">
        <v>78</v>
      </c>
      <c r="D81" s="549" t="s">
        <v>798</v>
      </c>
      <c r="E81" s="549">
        <v>23</v>
      </c>
      <c r="F81" s="549"/>
      <c r="G81" s="549">
        <v>26</v>
      </c>
      <c r="I81" s="270">
        <v>0</v>
      </c>
      <c r="J81" s="270">
        <v>0</v>
      </c>
      <c r="K81" s="1">
        <f>948.55/(10.5/26)</f>
        <v>2348.7904761904761</v>
      </c>
      <c r="M81" s="540">
        <f>+E81</f>
        <v>23</v>
      </c>
      <c r="N81" s="2">
        <f t="shared" si="93"/>
        <v>47840</v>
      </c>
      <c r="O81" s="2">
        <f t="shared" si="94"/>
        <v>9273.2714285714246</v>
      </c>
      <c r="P81" s="270">
        <f t="shared" si="95"/>
        <v>57113.271428571425</v>
      </c>
      <c r="Q81" s="270">
        <v>2400</v>
      </c>
      <c r="R81" s="270">
        <f t="shared" si="96"/>
        <v>59513.271428571425</v>
      </c>
      <c r="S81" s="270">
        <f t="shared" si="97"/>
        <v>59513.271428571425</v>
      </c>
      <c r="T81" s="270">
        <f t="shared" si="75"/>
        <v>4369.1652642857143</v>
      </c>
      <c r="U81" s="270">
        <f t="shared" si="76"/>
        <v>42</v>
      </c>
      <c r="V81" s="270">
        <f t="shared" ref="V81" si="108">IF(P81&gt;$V$6,$V$6*$V$7,+P81*$V$7)</f>
        <v>211.31910428571427</v>
      </c>
      <c r="W81" s="270">
        <f t="shared" si="91"/>
        <v>4144.9105533333332</v>
      </c>
      <c r="X81" s="270">
        <f t="shared" si="98"/>
        <v>8767.3949219047608</v>
      </c>
    </row>
    <row r="82" spans="1:29">
      <c r="A82" s="275" t="str">
        <f>+'WP-2 - Labor Analysis'!A76</f>
        <v>UNASSIGNED</v>
      </c>
      <c r="D82" s="549"/>
      <c r="E82" s="549"/>
      <c r="F82" s="549"/>
      <c r="G82" s="549"/>
      <c r="I82" s="574">
        <f>SUM(I71:I81)</f>
        <v>3723.6</v>
      </c>
      <c r="J82" s="574">
        <f>SUM(J71:J77)</f>
        <v>80780.66</v>
      </c>
      <c r="K82" s="270"/>
      <c r="M82" s="540"/>
      <c r="N82" s="600"/>
      <c r="O82" s="600"/>
      <c r="P82" s="574">
        <f t="shared" ref="P82:X82" si="109">SUM(P71:P81)</f>
        <v>423583.41465465841</v>
      </c>
      <c r="Q82" s="574">
        <f t="shared" si="109"/>
        <v>24600</v>
      </c>
      <c r="R82" s="574">
        <f t="shared" si="109"/>
        <v>448183.41465465841</v>
      </c>
      <c r="S82" s="574">
        <f t="shared" si="109"/>
        <v>367402.75465465838</v>
      </c>
      <c r="T82" s="574">
        <f t="shared" si="109"/>
        <v>32404.131221081367</v>
      </c>
      <c r="U82" s="574">
        <f t="shared" si="109"/>
        <v>294</v>
      </c>
      <c r="V82" s="574">
        <f t="shared" si="109"/>
        <v>1611.8314782422362</v>
      </c>
      <c r="W82" s="574">
        <f t="shared" si="109"/>
        <v>27128.360156413044</v>
      </c>
      <c r="X82" s="574">
        <f t="shared" si="109"/>
        <v>61438.322855736638</v>
      </c>
      <c r="Y82" s="1">
        <f>+X82*'WP-11 - Non-Regulated'!$K$40</f>
        <v>34031.97614244264</v>
      </c>
    </row>
    <row r="83" spans="1:29">
      <c r="A83" s="542"/>
      <c r="D83" s="549"/>
      <c r="E83" s="549"/>
      <c r="F83" s="549"/>
      <c r="G83" s="549"/>
      <c r="I83" s="1"/>
      <c r="J83" s="1"/>
      <c r="K83" s="1"/>
      <c r="M83" s="2"/>
      <c r="N83" s="2"/>
      <c r="O83" s="2"/>
      <c r="P83" s="1"/>
      <c r="Q83" s="1"/>
      <c r="R83" s="1"/>
    </row>
    <row r="84" spans="1:29">
      <c r="B84" s="4"/>
      <c r="C84" s="4"/>
      <c r="D84" s="549"/>
      <c r="E84" s="549"/>
      <c r="F84" s="549"/>
      <c r="G84" s="550"/>
      <c r="H84" s="4"/>
      <c r="I84" s="278"/>
      <c r="J84" s="278"/>
      <c r="K84" s="1"/>
      <c r="M84" s="2"/>
      <c r="N84" s="2"/>
      <c r="O84" s="2"/>
      <c r="P84" s="278"/>
      <c r="Q84" s="278"/>
      <c r="R84" s="278"/>
      <c r="S84" s="278"/>
      <c r="T84" s="278"/>
      <c r="U84" s="278"/>
      <c r="V84" s="278"/>
      <c r="W84" s="278"/>
      <c r="X84" s="278"/>
      <c r="Y84" s="544"/>
    </row>
    <row r="85" spans="1:29">
      <c r="D85" s="540"/>
      <c r="E85" s="540"/>
      <c r="F85" s="540"/>
      <c r="I85" s="270"/>
      <c r="J85" s="270"/>
      <c r="K85" s="1"/>
      <c r="M85" s="2"/>
      <c r="N85" s="2"/>
      <c r="O85" s="2"/>
      <c r="P85" s="270"/>
      <c r="Q85" s="270"/>
      <c r="R85" s="270"/>
      <c r="S85" s="270"/>
      <c r="T85" s="270"/>
      <c r="U85" s="270"/>
      <c r="V85" s="270"/>
      <c r="W85" s="270"/>
      <c r="X85" s="270"/>
    </row>
    <row r="86" spans="1:29">
      <c r="D86" s="540"/>
      <c r="E86" s="540"/>
      <c r="F86" s="540"/>
      <c r="I86" s="270"/>
      <c r="J86" s="270"/>
      <c r="K86" s="270"/>
      <c r="M86" s="540"/>
      <c r="N86" s="2"/>
      <c r="O86" s="2"/>
      <c r="P86" s="270"/>
      <c r="Q86" s="270"/>
      <c r="R86" s="270"/>
      <c r="S86" s="270"/>
      <c r="T86" s="270"/>
      <c r="U86" s="270"/>
      <c r="V86" s="270"/>
      <c r="W86" s="270"/>
      <c r="X86" s="270"/>
    </row>
    <row r="87" spans="1:29">
      <c r="A87" s="275" t="s">
        <v>170</v>
      </c>
      <c r="D87" s="540"/>
      <c r="E87" s="540"/>
      <c r="F87" s="540"/>
      <c r="I87" s="270">
        <f>+I12+I27+I56+I63+I69+I22+I82</f>
        <v>94150.49</v>
      </c>
      <c r="J87" s="270">
        <f>+J12+J27+J56+J63+J69+J22+J82</f>
        <v>3040494.4099999997</v>
      </c>
      <c r="K87" s="270"/>
      <c r="M87" s="540"/>
      <c r="N87" s="2"/>
      <c r="O87" s="2"/>
      <c r="P87" s="270">
        <f>+P12+P27+P56+P63+P69+P22+P82</f>
        <v>3456050.6058290061</v>
      </c>
      <c r="Q87" s="270">
        <f>+Q12+Q27+Q56+Q63+Q69+Q22+Q82</f>
        <v>108000</v>
      </c>
      <c r="R87" s="270">
        <f t="shared" ref="R87:W87" si="110">+R12+R27+R56+R63+R69+R22+R82</f>
        <v>3564050.6058290061</v>
      </c>
      <c r="S87" s="270">
        <f t="shared" si="110"/>
        <v>523556.19582900649</v>
      </c>
      <c r="T87" s="270">
        <f t="shared" si="110"/>
        <v>264387.87134591903</v>
      </c>
      <c r="U87" s="270">
        <f t="shared" si="110"/>
        <v>1932</v>
      </c>
      <c r="V87" s="270">
        <f t="shared" si="110"/>
        <v>11097.690871068737</v>
      </c>
      <c r="W87" s="270">
        <f t="shared" si="110"/>
        <v>134732.74586028553</v>
      </c>
      <c r="X87" s="270">
        <f>+X12+X27+X56+X63+X69+X22+X82</f>
        <v>412150.30807727319</v>
      </c>
      <c r="Y87" s="270">
        <f>+Y12+Y27+Y56+Y63+Y69+Y22+Y82</f>
        <v>237123.94629659189</v>
      </c>
      <c r="Z87" s="270"/>
    </row>
    <row r="88" spans="1:29">
      <c r="A88" s="3"/>
      <c r="D88" s="540"/>
      <c r="E88" s="540"/>
      <c r="F88" s="540"/>
      <c r="G88" s="547"/>
      <c r="I88" s="270"/>
      <c r="J88" s="270"/>
      <c r="K88" s="270"/>
      <c r="M88" s="540"/>
      <c r="N88" s="2"/>
      <c r="O88" s="2"/>
      <c r="P88" s="270"/>
      <c r="Q88" s="270"/>
      <c r="R88" s="270"/>
      <c r="S88" s="270"/>
      <c r="T88" s="270"/>
      <c r="U88" s="270"/>
      <c r="V88" s="270"/>
      <c r="W88" s="270"/>
      <c r="X88" s="270"/>
    </row>
    <row r="89" spans="1:29" ht="16.5" thickBot="1">
      <c r="A89" s="543" t="s">
        <v>206</v>
      </c>
      <c r="G89" s="547"/>
      <c r="I89" s="531">
        <f>+I87</f>
        <v>94150.49</v>
      </c>
      <c r="J89" s="531">
        <f>+J87</f>
        <v>3040494.4099999997</v>
      </c>
      <c r="K89" s="270"/>
      <c r="M89" s="600"/>
      <c r="N89" s="600"/>
      <c r="O89" s="600"/>
      <c r="P89" s="270"/>
      <c r="Q89" s="270"/>
      <c r="R89" s="270"/>
      <c r="S89" s="270"/>
      <c r="T89" s="270"/>
      <c r="U89" s="270"/>
      <c r="V89" s="270"/>
      <c r="W89" s="270"/>
      <c r="X89" s="270"/>
    </row>
    <row r="90" spans="1:29" ht="16.5" thickTop="1">
      <c r="A90" s="1" t="s">
        <v>389</v>
      </c>
      <c r="I90" s="1"/>
      <c r="J90" s="1">
        <f>+J89</f>
        <v>3040494.4099999997</v>
      </c>
      <c r="K90" s="270"/>
      <c r="M90" s="600"/>
      <c r="N90" s="600"/>
      <c r="O90" s="600"/>
      <c r="P90" s="270"/>
      <c r="Q90" s="270"/>
      <c r="R90" s="270"/>
      <c r="S90" s="270"/>
      <c r="T90" s="270"/>
      <c r="U90" s="270"/>
      <c r="V90" s="270"/>
      <c r="W90" s="270"/>
      <c r="X90" s="270"/>
    </row>
    <row r="91" spans="1:29" s="2" customFormat="1" ht="16.5" thickBot="1">
      <c r="A91" s="1" t="s">
        <v>808</v>
      </c>
      <c r="I91" s="1"/>
      <c r="J91" s="1"/>
      <c r="K91" s="270"/>
      <c r="L91" s="1"/>
      <c r="M91" s="600"/>
      <c r="N91" s="600"/>
      <c r="O91" s="600"/>
      <c r="P91" s="531">
        <f>+P87</f>
        <v>3456050.6058290061</v>
      </c>
      <c r="Q91" s="531">
        <f>+Q87</f>
        <v>108000</v>
      </c>
      <c r="R91" s="531">
        <f>+R87</f>
        <v>3564050.6058290061</v>
      </c>
      <c r="S91" s="531">
        <f>+S87</f>
        <v>523556.19582900649</v>
      </c>
      <c r="T91" s="531">
        <f>+T87</f>
        <v>264387.87134591903</v>
      </c>
      <c r="U91" s="531">
        <f t="shared" ref="U91:X91" si="111">+U87</f>
        <v>1932</v>
      </c>
      <c r="V91" s="531">
        <f t="shared" si="111"/>
        <v>11097.690871068737</v>
      </c>
      <c r="W91" s="531">
        <f t="shared" si="111"/>
        <v>134732.74586028553</v>
      </c>
      <c r="X91" s="531">
        <f t="shared" si="111"/>
        <v>412150.30807727319</v>
      </c>
      <c r="Y91" s="531">
        <f>+Y87</f>
        <v>237123.94629659189</v>
      </c>
      <c r="Z91" s="270"/>
    </row>
    <row r="92" spans="1:29" ht="17.25" customHeight="1" thickTop="1">
      <c r="A92" s="1" t="s">
        <v>228</v>
      </c>
      <c r="B92" s="602"/>
      <c r="C92" s="602"/>
      <c r="D92" s="602"/>
      <c r="E92" s="602"/>
      <c r="F92" s="602"/>
      <c r="G92" s="602"/>
      <c r="I92" s="1"/>
      <c r="J92" s="1"/>
      <c r="K92" s="1"/>
      <c r="M92" s="600"/>
      <c r="N92" s="600"/>
      <c r="O92" s="600"/>
      <c r="P92" s="1"/>
      <c r="Q92" s="1"/>
      <c r="R92" s="1"/>
      <c r="T92" s="541"/>
      <c r="W92" s="270"/>
      <c r="X92" s="270"/>
      <c r="Y92" s="270"/>
      <c r="Z92" s="270"/>
      <c r="AB92" s="541"/>
    </row>
    <row r="93" spans="1:29">
      <c r="A93" s="1" t="s">
        <v>988</v>
      </c>
      <c r="C93" s="546"/>
      <c r="D93" s="547"/>
      <c r="E93" s="547"/>
      <c r="F93" s="547"/>
      <c r="I93" s="1"/>
      <c r="J93" s="1"/>
      <c r="K93" s="1"/>
      <c r="M93" s="847"/>
      <c r="N93" s="600"/>
      <c r="O93" s="600"/>
      <c r="P93" s="1"/>
      <c r="Q93" s="1"/>
      <c r="R93" s="1"/>
      <c r="S93" s="879"/>
      <c r="T93" s="270"/>
      <c r="U93" s="270"/>
      <c r="V93" s="270"/>
      <c r="W93" s="270"/>
      <c r="X93" s="539" t="s">
        <v>922</v>
      </c>
      <c r="Y93" s="1">
        <f>+Operations!E51</f>
        <v>164052.6490245476</v>
      </c>
    </row>
    <row r="94" spans="1:29">
      <c r="C94" s="440"/>
      <c r="D94" s="547"/>
      <c r="E94" s="547"/>
      <c r="F94" s="547"/>
      <c r="J94" s="539"/>
      <c r="K94" s="1"/>
      <c r="M94" s="2"/>
      <c r="N94" s="2"/>
      <c r="O94" s="2"/>
      <c r="P94" s="1"/>
      <c r="Q94" s="1"/>
      <c r="R94" s="1"/>
      <c r="V94" s="283"/>
      <c r="W94" s="270"/>
      <c r="X94" s="539" t="s">
        <v>923</v>
      </c>
      <c r="Y94" s="2">
        <f>+Y91-Y93</f>
        <v>73071.297272044292</v>
      </c>
      <c r="AC94" s="2"/>
    </row>
    <row r="95" spans="1:29">
      <c r="I95" s="1"/>
      <c r="J95" s="1"/>
      <c r="K95" s="1"/>
      <c r="M95" s="2"/>
      <c r="N95" s="2"/>
      <c r="O95" s="2"/>
      <c r="P95" s="1"/>
      <c r="Q95" s="1"/>
      <c r="R95" s="1"/>
      <c r="S95" s="778"/>
      <c r="U95" s="270"/>
      <c r="V95" s="270"/>
      <c r="W95" s="270"/>
      <c r="X95" s="270"/>
      <c r="Y95" s="270"/>
      <c r="Z95" s="270"/>
      <c r="AA95" s="611"/>
    </row>
    <row r="96" spans="1:29">
      <c r="I96" s="1"/>
      <c r="J96" s="1"/>
      <c r="K96" s="779"/>
      <c r="L96" s="2"/>
      <c r="M96" s="2"/>
      <c r="N96" s="2"/>
      <c r="O96" s="2"/>
      <c r="R96" s="2">
        <f>+S91+'WP-2 - Labor Analysis'!Z80</f>
        <v>3564050.6058290061</v>
      </c>
      <c r="S96" s="2"/>
      <c r="T96" s="2"/>
      <c r="U96" s="2"/>
      <c r="V96" s="270"/>
      <c r="W96" s="2"/>
      <c r="X96" s="2"/>
      <c r="Y96" s="2"/>
      <c r="Z96" s="612"/>
      <c r="AA96" s="2"/>
    </row>
    <row r="97" spans="9:26" ht="20.25">
      <c r="I97" s="1"/>
      <c r="J97" s="1"/>
      <c r="K97" s="778"/>
      <c r="M97" s="2"/>
      <c r="N97" s="2"/>
      <c r="O97" s="2"/>
      <c r="P97" s="1"/>
      <c r="Q97" s="1"/>
      <c r="R97" s="780"/>
      <c r="W97" s="621" t="s">
        <v>924</v>
      </c>
      <c r="X97" s="1" t="s">
        <v>0</v>
      </c>
      <c r="Y97" s="1" t="s">
        <v>856</v>
      </c>
    </row>
    <row r="98" spans="9:26">
      <c r="I98" s="1"/>
      <c r="J98" s="1"/>
      <c r="K98" s="1"/>
      <c r="M98" s="2"/>
      <c r="N98" s="2"/>
      <c r="O98" s="2"/>
      <c r="P98" s="270"/>
      <c r="Q98" s="270"/>
      <c r="R98" s="781"/>
      <c r="S98" s="270"/>
      <c r="T98" s="610"/>
      <c r="W98" s="539" t="s">
        <v>10</v>
      </c>
      <c r="X98" s="1">
        <f>+S56</f>
        <v>163483.45136934801</v>
      </c>
      <c r="Y98" s="1">
        <f>+X98*'WP-11 - Non-Regulated'!$K$40</f>
        <v>90556.913959872865</v>
      </c>
      <c r="Z98" s="879"/>
    </row>
    <row r="99" spans="9:26">
      <c r="I99" s="1"/>
      <c r="J99" s="1"/>
      <c r="K99" s="1"/>
      <c r="M99" s="2"/>
      <c r="N99" s="2"/>
      <c r="O99" s="2"/>
      <c r="P99" s="270"/>
      <c r="Q99" s="270"/>
      <c r="R99" s="270"/>
      <c r="S99" s="270"/>
      <c r="W99" s="539" t="s">
        <v>11</v>
      </c>
      <c r="X99" s="1">
        <f>+S69</f>
        <v>-129869.55156999998</v>
      </c>
      <c r="Y99" s="1">
        <f>+X99*'WP-11 - Non-Regulated'!$K$40</f>
        <v>-71937.469566640109</v>
      </c>
    </row>
    <row r="100" spans="9:26">
      <c r="I100" s="1"/>
      <c r="J100" s="1"/>
      <c r="K100" s="1"/>
      <c r="M100" s="2"/>
      <c r="N100" s="2"/>
      <c r="O100" s="2"/>
      <c r="P100" s="1"/>
      <c r="Q100" s="1"/>
      <c r="R100" s="1"/>
      <c r="U100" s="539"/>
      <c r="W100" s="539" t="s">
        <v>377</v>
      </c>
      <c r="X100" s="1">
        <f>+S22</f>
        <v>94581.245675000071</v>
      </c>
      <c r="Y100" s="1">
        <f>+X100*0.8</f>
        <v>75664.996540000066</v>
      </c>
    </row>
    <row r="101" spans="9:26">
      <c r="I101" s="1"/>
      <c r="J101" s="1"/>
      <c r="K101" s="1"/>
      <c r="M101" s="2"/>
      <c r="N101" s="2"/>
      <c r="O101" s="2"/>
      <c r="P101" s="1"/>
      <c r="Q101" s="1"/>
      <c r="R101" s="1"/>
      <c r="U101" s="539"/>
      <c r="W101" s="539" t="s">
        <v>406</v>
      </c>
      <c r="X101" s="1">
        <f>+S11</f>
        <v>0.10399999999208376</v>
      </c>
      <c r="Y101" s="1">
        <f>+X101*'WP-11 - Non-Regulated'!$K$35</f>
        <v>8.3199999993667006E-2</v>
      </c>
    </row>
    <row r="102" spans="9:26">
      <c r="I102" s="1"/>
      <c r="J102" s="1"/>
      <c r="K102" s="1"/>
      <c r="M102" s="2"/>
      <c r="N102" s="2"/>
      <c r="O102" s="2"/>
      <c r="P102" s="1"/>
      <c r="Q102" s="1"/>
      <c r="R102" s="1"/>
      <c r="U102" s="539"/>
      <c r="W102" s="539" t="s">
        <v>889</v>
      </c>
      <c r="X102" s="1">
        <f>+S63</f>
        <v>15854.181750000014</v>
      </c>
      <c r="Y102" s="1">
        <f>+X102*'WP-9 - Disposal Fees'!S20</f>
        <v>5281.5163204896644</v>
      </c>
    </row>
    <row r="103" spans="9:26">
      <c r="I103" s="1"/>
      <c r="J103" s="1"/>
      <c r="K103" s="1"/>
      <c r="M103" s="2"/>
      <c r="N103" s="2"/>
      <c r="O103" s="2"/>
      <c r="P103" s="1"/>
      <c r="Q103" s="1"/>
      <c r="R103" s="1"/>
      <c r="U103" s="539"/>
      <c r="W103" s="539" t="s">
        <v>919</v>
      </c>
      <c r="X103" s="1">
        <f>+S27</f>
        <v>12104.009950000029</v>
      </c>
      <c r="Y103" s="1">
        <f>+X103*'WP-11 - Non-Regulated'!$K$40</f>
        <v>6704.6650803526472</v>
      </c>
    </row>
    <row r="104" spans="9:26">
      <c r="I104" s="1"/>
      <c r="J104" s="1"/>
      <c r="K104" s="1"/>
      <c r="M104" s="2"/>
      <c r="N104" s="2"/>
      <c r="O104" s="2"/>
      <c r="P104" s="1"/>
      <c r="Q104" s="1"/>
      <c r="R104" s="1"/>
      <c r="U104" s="539"/>
      <c r="W104" s="539" t="s">
        <v>1288</v>
      </c>
      <c r="X104" s="544">
        <f>+S82</f>
        <v>367402.75465465838</v>
      </c>
      <c r="Y104" s="544">
        <f>+X104*'WP-11 - Non-Regulated'!$K$40</f>
        <v>203512.09473009835</v>
      </c>
    </row>
    <row r="105" spans="9:26">
      <c r="I105" s="1"/>
      <c r="J105" s="1"/>
      <c r="K105" s="1"/>
      <c r="M105" s="2"/>
      <c r="N105" s="2"/>
      <c r="O105" s="2"/>
      <c r="P105" s="1"/>
      <c r="Q105" s="1"/>
      <c r="R105" s="1"/>
      <c r="U105" s="539"/>
      <c r="X105" s="1">
        <f>SUM(X97:X104)</f>
        <v>523556.19582900649</v>
      </c>
      <c r="Y105" s="1">
        <f>SUM(Y98:Y104)</f>
        <v>309782.80026417348</v>
      </c>
    </row>
    <row r="106" spans="9:26">
      <c r="I106" s="1"/>
      <c r="J106" s="1"/>
      <c r="K106" s="1"/>
      <c r="M106" s="2"/>
      <c r="N106" s="2"/>
      <c r="O106" s="2"/>
      <c r="P106" s="1"/>
      <c r="Q106" s="1"/>
      <c r="R106" s="1"/>
      <c r="U106" s="539"/>
      <c r="X106" s="544">
        <f>+S91</f>
        <v>523556.19582900649</v>
      </c>
    </row>
    <row r="107" spans="9:26">
      <c r="I107" s="1"/>
      <c r="J107" s="1"/>
      <c r="K107" s="1"/>
      <c r="M107" s="2"/>
      <c r="N107" s="2"/>
      <c r="O107" s="2"/>
      <c r="P107" s="1"/>
      <c r="Q107" s="1"/>
      <c r="R107" s="1"/>
      <c r="U107" s="539"/>
      <c r="W107" s="1" t="s">
        <v>892</v>
      </c>
      <c r="X107" s="1">
        <f>+X105-X106</f>
        <v>0</v>
      </c>
    </row>
    <row r="108" spans="9:26">
      <c r="I108" s="1"/>
      <c r="J108" s="1"/>
      <c r="K108" s="1"/>
      <c r="M108" s="2"/>
      <c r="N108" s="2"/>
      <c r="O108" s="2"/>
      <c r="P108" s="1"/>
      <c r="Q108" s="1"/>
      <c r="R108" s="1"/>
      <c r="U108" s="539"/>
    </row>
    <row r="109" spans="9:26">
      <c r="I109" s="1"/>
      <c r="J109" s="1"/>
      <c r="K109" s="1"/>
      <c r="M109" s="2"/>
      <c r="N109" s="2"/>
      <c r="O109" s="2"/>
      <c r="P109" s="1"/>
      <c r="Q109" s="1"/>
      <c r="R109" s="1"/>
      <c r="U109" s="539"/>
    </row>
    <row r="110" spans="9:26">
      <c r="I110" s="1"/>
      <c r="J110" s="1"/>
      <c r="K110" s="1"/>
      <c r="M110" s="2"/>
      <c r="N110" s="2"/>
      <c r="O110" s="2"/>
      <c r="P110" s="1"/>
      <c r="Q110" s="1"/>
      <c r="R110" s="1"/>
      <c r="U110" s="539"/>
      <c r="X110" s="3"/>
    </row>
    <row r="111" spans="9:26" ht="15.6" customHeight="1">
      <c r="I111" s="1"/>
      <c r="J111" s="1"/>
      <c r="K111" s="1"/>
      <c r="M111" s="2"/>
      <c r="N111" s="2"/>
      <c r="O111" s="2"/>
      <c r="P111" s="1"/>
      <c r="Q111" s="1"/>
      <c r="R111" s="1"/>
      <c r="U111" s="539"/>
      <c r="X111" s="3"/>
    </row>
    <row r="112" spans="9:26">
      <c r="I112" s="1"/>
      <c r="J112" s="1"/>
      <c r="K112" s="1"/>
      <c r="M112" s="2"/>
      <c r="N112" s="2"/>
      <c r="O112" s="2"/>
      <c r="P112" s="1"/>
      <c r="Q112" s="1"/>
      <c r="R112" s="1"/>
      <c r="X112" s="635"/>
    </row>
    <row r="113" spans="9:24">
      <c r="I113" s="1"/>
      <c r="J113" s="1"/>
      <c r="K113" s="1"/>
      <c r="M113" s="2"/>
      <c r="N113" s="2"/>
      <c r="O113" s="2"/>
      <c r="P113" s="1"/>
      <c r="Q113" s="1"/>
      <c r="R113" s="1"/>
      <c r="X113" s="3"/>
    </row>
    <row r="114" spans="9:24">
      <c r="I114" s="1"/>
      <c r="J114" s="1"/>
      <c r="K114" s="1"/>
      <c r="M114" s="2"/>
      <c r="N114" s="2"/>
      <c r="O114" s="2"/>
      <c r="P114" s="1"/>
      <c r="Q114" s="1"/>
      <c r="R114" s="1"/>
    </row>
    <row r="115" spans="9:24">
      <c r="I115" s="1"/>
      <c r="J115" s="1"/>
      <c r="K115" s="1"/>
      <c r="M115" s="2"/>
      <c r="N115" s="2"/>
      <c r="O115" s="2"/>
      <c r="P115" s="1"/>
      <c r="Q115" s="1"/>
      <c r="R115" s="1"/>
    </row>
    <row r="116" spans="9:24">
      <c r="I116" s="1"/>
      <c r="J116" s="1"/>
      <c r="K116" s="1"/>
      <c r="M116" s="2"/>
      <c r="N116" s="2"/>
      <c r="O116" s="2"/>
      <c r="P116" s="1"/>
      <c r="Q116" s="1"/>
      <c r="R116" s="1"/>
    </row>
    <row r="117" spans="9:24">
      <c r="I117" s="1"/>
      <c r="J117" s="1"/>
      <c r="K117" s="1"/>
      <c r="M117" s="2"/>
      <c r="N117" s="2"/>
      <c r="O117" s="2"/>
      <c r="P117" s="1"/>
      <c r="Q117" s="1"/>
      <c r="R117" s="1"/>
    </row>
    <row r="118" spans="9:24">
      <c r="I118" s="1"/>
      <c r="J118" s="1"/>
      <c r="K118" s="1"/>
      <c r="M118" s="2"/>
      <c r="N118" s="2"/>
      <c r="O118" s="2"/>
      <c r="P118" s="1"/>
      <c r="Q118" s="1"/>
      <c r="R118" s="1"/>
    </row>
    <row r="119" spans="9:24">
      <c r="I119" s="1"/>
      <c r="J119" s="1"/>
      <c r="K119" s="1"/>
      <c r="M119" s="2"/>
      <c r="N119" s="2"/>
      <c r="O119" s="2"/>
      <c r="P119" s="1"/>
      <c r="Q119" s="1"/>
      <c r="R119" s="1"/>
    </row>
    <row r="120" spans="9:24">
      <c r="I120" s="1"/>
      <c r="J120" s="1"/>
      <c r="K120" s="1"/>
      <c r="M120" s="2"/>
      <c r="N120" s="2"/>
      <c r="O120" s="2"/>
      <c r="P120" s="1"/>
      <c r="Q120" s="1"/>
      <c r="R120" s="1"/>
    </row>
    <row r="121" spans="9:24">
      <c r="I121" s="1"/>
      <c r="J121" s="1"/>
      <c r="K121" s="1"/>
      <c r="M121" s="2"/>
      <c r="N121" s="2"/>
      <c r="O121" s="2"/>
      <c r="P121" s="1"/>
      <c r="Q121" s="1"/>
      <c r="R121" s="1"/>
    </row>
    <row r="122" spans="9:24">
      <c r="I122" s="1"/>
      <c r="J122" s="1"/>
      <c r="K122" s="1"/>
      <c r="M122" s="2"/>
      <c r="N122" s="2"/>
      <c r="O122" s="2"/>
      <c r="P122" s="1"/>
      <c r="Q122" s="1"/>
      <c r="R122" s="1"/>
    </row>
    <row r="123" spans="9:24">
      <c r="I123" s="1"/>
      <c r="J123" s="1"/>
      <c r="K123" s="1"/>
      <c r="M123" s="2"/>
      <c r="N123" s="2"/>
      <c r="O123" s="2"/>
      <c r="P123" s="1"/>
      <c r="Q123" s="1"/>
      <c r="R123" s="1"/>
    </row>
  </sheetData>
  <mergeCells count="11">
    <mergeCell ref="S1:AF1"/>
    <mergeCell ref="A3:Q3"/>
    <mergeCell ref="A5:Q5"/>
    <mergeCell ref="U4:V4"/>
    <mergeCell ref="W4:X4"/>
    <mergeCell ref="U3:X3"/>
    <mergeCell ref="I8:J8"/>
    <mergeCell ref="I9:J9"/>
    <mergeCell ref="E7:G8"/>
    <mergeCell ref="M6:N6"/>
    <mergeCell ref="A1:Q1"/>
  </mergeCells>
  <pageMargins left="0.5" right="0.5" top="0.75" bottom="0.5" header="0" footer="0.25"/>
  <pageSetup scale="30" fitToWidth="2" orientation="landscape"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25"/>
  <dimension ref="A1:V107"/>
  <sheetViews>
    <sheetView zoomScale="55" zoomScaleNormal="55" zoomScaleSheetLayoutView="40" workbookViewId="0">
      <pane xSplit="1" ySplit="1" topLeftCell="B2" activePane="bottomRight" state="frozen"/>
      <selection pane="topRight" activeCell="B1" sqref="B1"/>
      <selection pane="bottomLeft" activeCell="A2" sqref="A2"/>
      <selection pane="bottomRight" sqref="A1:N1"/>
    </sheetView>
  </sheetViews>
  <sheetFormatPr defaultColWidth="9.88671875" defaultRowHeight="15.75"/>
  <cols>
    <col min="1" max="1" width="30.6640625" style="1" customWidth="1"/>
    <col min="2" max="2" width="18.6640625" style="1" bestFit="1" customWidth="1"/>
    <col min="3" max="13" width="15.6640625" style="1" customWidth="1"/>
    <col min="14" max="14" width="9.88671875" style="1" bestFit="1" customWidth="1"/>
    <col min="15" max="15" width="1.44140625" style="1" customWidth="1"/>
    <col min="16" max="16" width="1.44140625" style="282" customWidth="1"/>
    <col min="17" max="17" width="20.21875" style="282" customWidth="1"/>
    <col min="18" max="18" width="11.6640625" style="1" bestFit="1" customWidth="1"/>
    <col min="19" max="19" width="19.33203125" style="1" customWidth="1"/>
    <col min="20" max="20" width="15.109375" style="1" customWidth="1"/>
    <col min="21" max="21" width="15.6640625" style="1" bestFit="1" customWidth="1"/>
    <col min="22" max="16384" width="9.88671875" style="1"/>
  </cols>
  <sheetData>
    <row r="1" spans="1:22" ht="16.5">
      <c r="A1" s="954" t="str">
        <f>+'WP-2, pg 2 - Labor Increase'!A1:Q1</f>
        <v>Consolidated Disposal Services, Inc.</v>
      </c>
      <c r="B1" s="954"/>
      <c r="C1" s="954"/>
      <c r="D1" s="954"/>
      <c r="E1" s="954"/>
      <c r="F1" s="954"/>
      <c r="G1" s="954"/>
      <c r="H1" s="954"/>
      <c r="I1" s="954"/>
      <c r="J1" s="954"/>
      <c r="K1" s="954"/>
      <c r="L1" s="954"/>
      <c r="M1" s="954"/>
      <c r="N1" s="954"/>
    </row>
    <row r="2" spans="1:22" ht="13.5" customHeight="1">
      <c r="A2" s="272"/>
    </row>
    <row r="3" spans="1:22" ht="16.5">
      <c r="A3" s="954" t="s">
        <v>211</v>
      </c>
      <c r="B3" s="954"/>
      <c r="C3" s="954"/>
      <c r="D3" s="954"/>
      <c r="E3" s="954"/>
      <c r="F3" s="954"/>
      <c r="G3" s="954"/>
      <c r="H3" s="954"/>
      <c r="I3" s="954"/>
      <c r="J3" s="954"/>
      <c r="K3" s="954"/>
      <c r="L3" s="954"/>
      <c r="M3" s="954"/>
      <c r="N3" s="954"/>
    </row>
    <row r="4" spans="1:22">
      <c r="A4" s="288"/>
      <c r="B4" s="288"/>
      <c r="C4" s="288"/>
      <c r="D4" s="288"/>
      <c r="E4" s="288"/>
      <c r="F4" s="288"/>
      <c r="H4" s="288"/>
      <c r="I4" s="288"/>
      <c r="J4" s="288"/>
      <c r="K4" s="288"/>
      <c r="L4" s="288"/>
      <c r="M4" s="288"/>
      <c r="N4" s="288"/>
    </row>
    <row r="5" spans="1:22">
      <c r="A5" s="955" t="str">
        <f>+'WP-1 - Summary Depr'!A5</f>
        <v>In Support of Tariff 8 effective April 1, 2025</v>
      </c>
      <c r="B5" s="955"/>
      <c r="C5" s="955"/>
      <c r="D5" s="955"/>
      <c r="E5" s="955"/>
      <c r="F5" s="955"/>
      <c r="G5" s="955"/>
      <c r="H5" s="955"/>
      <c r="I5" s="955"/>
      <c r="J5" s="955"/>
      <c r="K5" s="955"/>
      <c r="L5" s="955"/>
      <c r="M5" s="955"/>
      <c r="N5" s="955"/>
    </row>
    <row r="6" spans="1:22">
      <c r="A6" s="276"/>
      <c r="B6" s="528"/>
      <c r="C6" s="528"/>
      <c r="D6" s="528"/>
      <c r="E6" s="528"/>
      <c r="F6" s="528"/>
      <c r="G6" s="528"/>
      <c r="H6" s="528"/>
    </row>
    <row r="7" spans="1:22">
      <c r="A7" s="276"/>
      <c r="B7" s="965" t="s">
        <v>145</v>
      </c>
      <c r="C7" s="965"/>
      <c r="D7" s="965"/>
      <c r="E7" s="965"/>
      <c r="F7" s="965"/>
      <c r="G7" s="965"/>
      <c r="H7" s="965"/>
      <c r="I7" s="964" t="s">
        <v>232</v>
      </c>
      <c r="J7" s="965"/>
      <c r="K7" s="965"/>
      <c r="L7" s="965"/>
      <c r="M7" s="965"/>
      <c r="N7" s="965"/>
    </row>
    <row r="8" spans="1:22">
      <c r="A8" s="537"/>
      <c r="B8" s="968" t="s">
        <v>989</v>
      </c>
      <c r="C8" s="968"/>
      <c r="D8" s="968"/>
      <c r="E8" s="968"/>
      <c r="F8" s="968"/>
      <c r="G8" s="968"/>
      <c r="H8" s="969"/>
      <c r="I8" s="966" t="s">
        <v>1302</v>
      </c>
      <c r="J8" s="967"/>
      <c r="K8" s="967"/>
      <c r="L8" s="967"/>
      <c r="M8" s="967"/>
      <c r="N8" s="967"/>
      <c r="P8" s="1"/>
      <c r="Q8" s="3" t="s">
        <v>144</v>
      </c>
      <c r="R8" s="625"/>
      <c r="S8" s="638" t="s">
        <v>22</v>
      </c>
    </row>
    <row r="9" spans="1:22">
      <c r="B9" s="636"/>
      <c r="C9" s="636"/>
      <c r="D9" s="636"/>
      <c r="E9" s="636"/>
      <c r="F9" s="636"/>
      <c r="G9" s="636"/>
      <c r="H9" s="637"/>
      <c r="I9" s="1" t="s">
        <v>1290</v>
      </c>
      <c r="P9" s="1"/>
      <c r="Q9" s="624" t="s">
        <v>930</v>
      </c>
      <c r="R9" s="625" t="s">
        <v>856</v>
      </c>
      <c r="S9" s="624" t="s">
        <v>930</v>
      </c>
      <c r="T9" s="625" t="s">
        <v>856</v>
      </c>
    </row>
    <row r="10" spans="1:22">
      <c r="A10" s="3"/>
      <c r="B10" s="636"/>
      <c r="C10" s="881"/>
      <c r="D10" s="881"/>
      <c r="E10" s="881"/>
      <c r="F10" s="882"/>
      <c r="G10" s="636"/>
      <c r="H10" s="637"/>
      <c r="I10" s="880">
        <v>45658</v>
      </c>
      <c r="J10" s="536"/>
      <c r="K10" s="536" t="s">
        <v>1303</v>
      </c>
      <c r="L10" s="536" t="s">
        <v>1305</v>
      </c>
      <c r="M10" s="536" t="s">
        <v>1305</v>
      </c>
      <c r="N10" s="536"/>
      <c r="P10" s="1"/>
      <c r="Q10" s="623"/>
      <c r="R10" s="532"/>
      <c r="S10" s="286"/>
    </row>
    <row r="11" spans="1:22">
      <c r="A11" s="4" t="s">
        <v>1</v>
      </c>
      <c r="B11" s="529" t="s">
        <v>1257</v>
      </c>
      <c r="C11" s="896" t="s">
        <v>799</v>
      </c>
      <c r="D11" s="529" t="s">
        <v>1289</v>
      </c>
      <c r="E11" s="529" t="s">
        <v>800</v>
      </c>
      <c r="F11" s="529" t="s">
        <v>805</v>
      </c>
      <c r="G11" s="529" t="s">
        <v>806</v>
      </c>
      <c r="H11" s="529" t="s">
        <v>0</v>
      </c>
      <c r="I11" s="895" t="s">
        <v>925</v>
      </c>
      <c r="J11" s="529" t="s">
        <v>1306</v>
      </c>
      <c r="K11" s="529" t="s">
        <v>1304</v>
      </c>
      <c r="L11" s="908" t="s">
        <v>927</v>
      </c>
      <c r="M11" s="908" t="s">
        <v>805</v>
      </c>
      <c r="N11" s="529" t="s">
        <v>0</v>
      </c>
      <c r="P11" s="1"/>
      <c r="Q11" s="270" t="s">
        <v>928</v>
      </c>
      <c r="R11" s="282"/>
      <c r="S11" s="282"/>
    </row>
    <row r="12" spans="1:22">
      <c r="A12" s="269">
        <f>+'WP-2, pg 2 - Labor Increase'!A11</f>
        <v>100</v>
      </c>
      <c r="B12" s="270">
        <v>24277.47</v>
      </c>
      <c r="C12" s="270">
        <v>2183.25</v>
      </c>
      <c r="D12" s="270"/>
      <c r="E12" s="270">
        <v>107.27</v>
      </c>
      <c r="F12" s="270">
        <v>6056.1</v>
      </c>
      <c r="G12" s="270">
        <v>3000</v>
      </c>
      <c r="H12" s="629">
        <f>SUM(B12:G12)</f>
        <v>35624.090000000004</v>
      </c>
      <c r="I12" s="270">
        <f>2342.23*12</f>
        <v>28106.760000000002</v>
      </c>
      <c r="J12" s="270"/>
      <c r="K12" s="628">
        <f>176.24*12</f>
        <v>2114.88</v>
      </c>
      <c r="L12" s="270">
        <v>3000</v>
      </c>
      <c r="M12" s="270">
        <f>+'WP-2, pg 2 - Labor Increase'!R11*0.04</f>
        <v>5832.0121600000002</v>
      </c>
      <c r="N12" s="270">
        <f>SUM(I12:M12)</f>
        <v>39053.652159999998</v>
      </c>
      <c r="O12" s="270"/>
      <c r="P12" s="270"/>
      <c r="Q12" s="270">
        <f>+H13</f>
        <v>35624.090000000004</v>
      </c>
      <c r="R12" s="533">
        <f>+'WP-11 - Non-Regulated'!$K$40*Q12</f>
        <v>19732.930923634889</v>
      </c>
      <c r="S12" s="286">
        <f>+N13</f>
        <v>39053.652159999998</v>
      </c>
      <c r="T12" s="533">
        <f>+'WP-11 - Non-Regulated'!$K$40*S12</f>
        <v>21632.637363900223</v>
      </c>
      <c r="U12" s="270"/>
      <c r="V12" s="270"/>
    </row>
    <row r="13" spans="1:22">
      <c r="A13" s="526" t="str">
        <f>+'WP-2, pg 2 - Labor Increase'!A12</f>
        <v>OFFICERS</v>
      </c>
      <c r="B13" s="530">
        <f t="shared" ref="B13:M13" si="0">SUM(B12:B12)</f>
        <v>24277.47</v>
      </c>
      <c r="C13" s="530">
        <f t="shared" si="0"/>
        <v>2183.25</v>
      </c>
      <c r="D13" s="608"/>
      <c r="E13" s="530">
        <f t="shared" si="0"/>
        <v>107.27</v>
      </c>
      <c r="F13" s="530">
        <f t="shared" si="0"/>
        <v>6056.1</v>
      </c>
      <c r="G13" s="530">
        <f t="shared" si="0"/>
        <v>3000</v>
      </c>
      <c r="H13" s="630">
        <f>SUM(B13:G13)</f>
        <v>35624.090000000004</v>
      </c>
      <c r="I13" s="279">
        <f t="shared" si="0"/>
        <v>28106.760000000002</v>
      </c>
      <c r="J13" s="279"/>
      <c r="K13" s="279">
        <f t="shared" si="0"/>
        <v>2114.88</v>
      </c>
      <c r="L13" s="279">
        <f t="shared" si="0"/>
        <v>3000</v>
      </c>
      <c r="M13" s="279">
        <f t="shared" si="0"/>
        <v>5832.0121600000002</v>
      </c>
      <c r="N13" s="573">
        <f>SUM(I13:M13)</f>
        <v>39053.652159999998</v>
      </c>
      <c r="O13" s="270"/>
      <c r="P13" s="284"/>
      <c r="Q13" s="284"/>
      <c r="R13" s="282"/>
      <c r="S13" s="282"/>
      <c r="T13" s="270"/>
      <c r="U13" s="270"/>
      <c r="V13" s="270"/>
    </row>
    <row r="14" spans="1:22">
      <c r="A14" s="269"/>
      <c r="B14" s="270"/>
      <c r="C14" s="270"/>
      <c r="D14" s="270"/>
      <c r="E14" s="270"/>
      <c r="F14" s="270"/>
      <c r="G14" s="270"/>
      <c r="H14" s="270"/>
      <c r="I14" s="627"/>
      <c r="J14" s="270"/>
      <c r="K14" s="270"/>
      <c r="L14" s="270"/>
      <c r="M14" s="270"/>
      <c r="N14" s="270"/>
      <c r="O14" s="270"/>
      <c r="P14" s="284"/>
      <c r="Q14" s="284"/>
      <c r="R14" s="282"/>
      <c r="S14" s="282"/>
      <c r="T14" s="270"/>
      <c r="U14" s="270"/>
      <c r="V14" s="270"/>
    </row>
    <row r="15" spans="1:22">
      <c r="A15" s="269">
        <f>+'WP-2, pg 2 - Labor Increase'!A14</f>
        <v>17</v>
      </c>
      <c r="B15" s="270">
        <v>0</v>
      </c>
      <c r="C15" s="270"/>
      <c r="D15" s="270"/>
      <c r="E15" s="270"/>
      <c r="F15" s="270"/>
      <c r="G15" s="270"/>
      <c r="H15" s="270"/>
      <c r="I15" s="627">
        <f>736.69*12</f>
        <v>8840.2800000000007</v>
      </c>
      <c r="J15" s="270"/>
      <c r="K15" s="628">
        <f>52.26*12</f>
        <v>627.12</v>
      </c>
      <c r="L15" s="270">
        <v>1500</v>
      </c>
      <c r="M15" s="270">
        <f>+'WP-2, pg 2 - Labor Increase'!R14*0.04</f>
        <v>3295.9967999999999</v>
      </c>
      <c r="N15" s="270">
        <f t="shared" ref="N15:N22" si="1">SUM(I15:M15)</f>
        <v>14263.396800000002</v>
      </c>
      <c r="O15" s="270"/>
      <c r="P15" s="284"/>
      <c r="Q15" s="284"/>
      <c r="R15" s="282"/>
      <c r="S15" s="282"/>
      <c r="T15" s="270"/>
      <c r="U15" s="270"/>
      <c r="V15" s="270"/>
    </row>
    <row r="16" spans="1:22">
      <c r="A16" s="269">
        <f>+'WP-2, pg 2 - Labor Increase'!A15</f>
        <v>10</v>
      </c>
      <c r="B16" s="270">
        <v>7426.83</v>
      </c>
      <c r="C16" s="270">
        <v>667.35</v>
      </c>
      <c r="D16" s="270"/>
      <c r="E16" s="270">
        <f>+E12</f>
        <v>107.27</v>
      </c>
      <c r="F16" s="270">
        <v>4487.2</v>
      </c>
      <c r="G16" s="270">
        <v>1500</v>
      </c>
      <c r="H16" s="629">
        <f t="shared" ref="H16:H22" si="2">SUM(B16:G16)</f>
        <v>14188.650000000001</v>
      </c>
      <c r="I16" s="627">
        <f>736.69*12</f>
        <v>8840.2800000000007</v>
      </c>
      <c r="J16" s="270"/>
      <c r="K16" s="628">
        <f>52.26*12</f>
        <v>627.12</v>
      </c>
      <c r="L16" s="270">
        <v>1500</v>
      </c>
      <c r="M16" s="270">
        <f>+'WP-2, pg 2 - Labor Increase'!R15*0.04</f>
        <v>5058.0800000000008</v>
      </c>
      <c r="N16" s="270">
        <f t="shared" si="1"/>
        <v>16025.480000000003</v>
      </c>
      <c r="O16" s="270"/>
      <c r="P16" s="284"/>
      <c r="Q16" s="284"/>
      <c r="R16" s="282"/>
      <c r="S16" s="282"/>
      <c r="T16" s="270"/>
      <c r="U16" s="270"/>
      <c r="V16" s="270"/>
    </row>
    <row r="17" spans="1:22">
      <c r="A17" s="269">
        <f>+'WP-2, pg 2 - Labor Increase'!A16</f>
        <v>11</v>
      </c>
      <c r="B17" s="270">
        <v>0</v>
      </c>
      <c r="C17" s="270"/>
      <c r="D17" s="270"/>
      <c r="E17" s="270"/>
      <c r="F17" s="270">
        <v>1802.52</v>
      </c>
      <c r="G17" s="270"/>
      <c r="H17" s="629">
        <f t="shared" si="2"/>
        <v>1802.52</v>
      </c>
      <c r="I17" s="627"/>
      <c r="J17" s="270"/>
      <c r="K17" s="270"/>
      <c r="L17" s="270">
        <v>0</v>
      </c>
      <c r="M17" s="270">
        <f>+'WP-2, pg 2 - Labor Increase'!R16*0.04</f>
        <v>1735.9979520000002</v>
      </c>
      <c r="N17" s="270">
        <f t="shared" si="1"/>
        <v>1735.9979520000002</v>
      </c>
      <c r="O17" s="270"/>
      <c r="P17" s="284"/>
      <c r="Q17" s="284"/>
      <c r="R17" s="282"/>
      <c r="S17" s="282"/>
      <c r="T17" s="270"/>
      <c r="U17" s="270"/>
      <c r="V17" s="270"/>
    </row>
    <row r="18" spans="1:22">
      <c r="A18" s="269">
        <f>+'WP-2, pg 2 - Labor Increase'!A17</f>
        <v>12</v>
      </c>
      <c r="B18" s="270">
        <v>7426.83</v>
      </c>
      <c r="C18" s="270">
        <v>667.35</v>
      </c>
      <c r="D18" s="270"/>
      <c r="E18" s="270">
        <f>+E12</f>
        <v>107.27</v>
      </c>
      <c r="F18" s="270">
        <v>2739.07</v>
      </c>
      <c r="G18" s="270"/>
      <c r="H18" s="629">
        <f t="shared" si="2"/>
        <v>10940.52</v>
      </c>
      <c r="I18" s="627">
        <f>736.69*12</f>
        <v>8840.2800000000007</v>
      </c>
      <c r="J18" s="270"/>
      <c r="K18" s="628">
        <f t="shared" ref="K18:K22" si="3">52.26*12</f>
        <v>627.12</v>
      </c>
      <c r="L18" s="270">
        <v>1500</v>
      </c>
      <c r="M18" s="270">
        <f>+'WP-2, pg 2 - Labor Increase'!R17*0.04</f>
        <v>2845.2069600000004</v>
      </c>
      <c r="N18" s="270">
        <f t="shared" si="1"/>
        <v>13812.606960000001</v>
      </c>
      <c r="O18" s="270"/>
      <c r="P18" s="284"/>
      <c r="Q18" s="284"/>
      <c r="R18" s="282"/>
      <c r="S18" s="282"/>
      <c r="T18" s="270"/>
      <c r="U18" s="270"/>
      <c r="V18" s="270"/>
    </row>
    <row r="19" spans="1:22">
      <c r="A19" s="269">
        <f>+'WP-2, pg 2 - Labor Increase'!A18</f>
        <v>13</v>
      </c>
      <c r="B19" s="270">
        <v>7426.83</v>
      </c>
      <c r="C19" s="270">
        <v>721.8</v>
      </c>
      <c r="D19" s="270"/>
      <c r="E19" s="270">
        <f>+E$12</f>
        <v>107.27</v>
      </c>
      <c r="F19" s="270">
        <v>1762.37</v>
      </c>
      <c r="G19" s="270">
        <v>1500</v>
      </c>
      <c r="H19" s="629">
        <f t="shared" si="2"/>
        <v>11518.27</v>
      </c>
      <c r="I19" s="627">
        <f t="shared" ref="I19:I20" si="4">736.69*12</f>
        <v>8840.2800000000007</v>
      </c>
      <c r="J19" s="270"/>
      <c r="K19" s="628">
        <f t="shared" si="3"/>
        <v>627.12</v>
      </c>
      <c r="L19" s="270">
        <v>1500</v>
      </c>
      <c r="M19" s="270">
        <f>+'WP-2, pg 2 - Labor Increase'!R18*0.04</f>
        <v>1968.9316500000004</v>
      </c>
      <c r="N19" s="270">
        <f t="shared" si="1"/>
        <v>12936.331650000002</v>
      </c>
      <c r="O19" s="270"/>
      <c r="P19" s="284"/>
      <c r="Q19" s="284"/>
      <c r="R19" s="282"/>
      <c r="S19" s="282"/>
      <c r="T19" s="270"/>
      <c r="U19" s="270"/>
      <c r="V19" s="270"/>
    </row>
    <row r="20" spans="1:22">
      <c r="A20" s="269">
        <f>+'WP-2, pg 2 - Labor Increase'!A19</f>
        <v>14</v>
      </c>
      <c r="B20" s="887">
        <v>6826.31</v>
      </c>
      <c r="C20" s="270"/>
      <c r="D20" s="270"/>
      <c r="E20" s="270">
        <f>+E$12</f>
        <v>107.27</v>
      </c>
      <c r="F20" s="270">
        <v>3484.68</v>
      </c>
      <c r="G20" s="270">
        <v>2750</v>
      </c>
      <c r="H20" s="629">
        <f t="shared" si="2"/>
        <v>13168.26</v>
      </c>
      <c r="I20" s="627">
        <f t="shared" si="4"/>
        <v>8840.2800000000007</v>
      </c>
      <c r="J20" s="270"/>
      <c r="K20" s="628">
        <f t="shared" si="3"/>
        <v>627.12</v>
      </c>
      <c r="L20" s="270">
        <v>3000</v>
      </c>
      <c r="M20" s="270">
        <f>+'WP-2, pg 2 - Labor Increase'!R19*0.04</f>
        <v>3580.7286249999997</v>
      </c>
      <c r="N20" s="270">
        <f t="shared" si="1"/>
        <v>16048.128625000001</v>
      </c>
      <c r="O20" s="534"/>
      <c r="P20" s="284"/>
      <c r="Q20" s="284"/>
      <c r="R20" s="282"/>
      <c r="S20" s="282"/>
      <c r="T20" s="270"/>
      <c r="U20" s="270"/>
      <c r="V20" s="270"/>
    </row>
    <row r="21" spans="1:22">
      <c r="A21" s="269">
        <f>+'WP-2, pg 2 - Labor Increase'!A20</f>
        <v>15</v>
      </c>
      <c r="B21" s="887">
        <v>1201.04</v>
      </c>
      <c r="C21" s="270">
        <v>1393.05</v>
      </c>
      <c r="D21" s="270">
        <f>3389.8+2731</f>
        <v>6120.8</v>
      </c>
      <c r="E21" s="270">
        <f>+E$12</f>
        <v>107.27</v>
      </c>
      <c r="F21" s="270">
        <v>6602.95</v>
      </c>
      <c r="G21" s="270"/>
      <c r="H21" s="629">
        <f t="shared" si="2"/>
        <v>15425.11</v>
      </c>
      <c r="I21" s="627"/>
      <c r="J21" s="270">
        <f>+D21</f>
        <v>6120.8</v>
      </c>
      <c r="K21" s="270">
        <f>50.9*12</f>
        <v>610.79999999999995</v>
      </c>
      <c r="L21" s="270"/>
      <c r="M21" s="270">
        <f>+'WP-2, pg 2 - Labor Increase'!R20*0.04</f>
        <v>6658.3971040000015</v>
      </c>
      <c r="N21" s="270">
        <f t="shared" si="1"/>
        <v>13389.997104000002</v>
      </c>
      <c r="O21" s="534"/>
      <c r="P21" s="284"/>
      <c r="Q21" s="284"/>
      <c r="R21" s="282"/>
      <c r="S21" s="282"/>
      <c r="T21" s="270"/>
      <c r="U21" s="270"/>
      <c r="V21" s="270"/>
    </row>
    <row r="22" spans="1:22">
      <c r="A22" s="269">
        <f>+'WP-2, pg 2 - Labor Increase'!A21</f>
        <v>16</v>
      </c>
      <c r="B22" s="270">
        <v>7426.83</v>
      </c>
      <c r="C22" s="270">
        <v>667.35</v>
      </c>
      <c r="D22" s="270"/>
      <c r="E22" s="270">
        <f>+E$12</f>
        <v>107.27</v>
      </c>
      <c r="F22" s="270">
        <v>2596.02</v>
      </c>
      <c r="G22" s="270">
        <v>1500</v>
      </c>
      <c r="H22" s="894">
        <f t="shared" si="2"/>
        <v>12297.470000000001</v>
      </c>
      <c r="I22" s="627">
        <f>736.69*12</f>
        <v>8840.2800000000007</v>
      </c>
      <c r="J22" s="270"/>
      <c r="K22" s="628">
        <f t="shared" si="3"/>
        <v>627.12</v>
      </c>
      <c r="L22" s="270">
        <v>1500</v>
      </c>
      <c r="M22" s="270">
        <f>+'WP-2, pg 2 - Labor Increase'!R21*0.04</f>
        <v>2727.734336</v>
      </c>
      <c r="N22" s="270">
        <f t="shared" si="1"/>
        <v>13695.134336000001</v>
      </c>
      <c r="O22" s="270"/>
      <c r="P22" s="284"/>
      <c r="Q22" s="284"/>
      <c r="R22" s="282"/>
      <c r="S22" s="282"/>
      <c r="T22" s="270"/>
      <c r="U22" s="270"/>
      <c r="V22" s="270"/>
    </row>
    <row r="23" spans="1:22">
      <c r="A23" s="526" t="str">
        <f>+'WP-2, pg 2 - Labor Increase'!A22</f>
        <v>OFFICE/ADMIN</v>
      </c>
      <c r="B23" s="279">
        <f>SUM(B15:B22)</f>
        <v>37734.67</v>
      </c>
      <c r="C23" s="279">
        <f t="shared" ref="C23:G23" si="5">SUM(C15:C22)</f>
        <v>4116.9000000000005</v>
      </c>
      <c r="D23" s="279">
        <f t="shared" si="5"/>
        <v>6120.8</v>
      </c>
      <c r="E23" s="279">
        <f t="shared" si="5"/>
        <v>643.62</v>
      </c>
      <c r="F23" s="279">
        <f t="shared" si="5"/>
        <v>23474.81</v>
      </c>
      <c r="G23" s="279">
        <f t="shared" si="5"/>
        <v>7250</v>
      </c>
      <c r="H23" s="893">
        <f>SUM(B23:G23)</f>
        <v>79340.800000000003</v>
      </c>
      <c r="I23" s="279">
        <f>SUM(I15:I22)</f>
        <v>53041.68</v>
      </c>
      <c r="J23" s="279">
        <f>SUM(J15:J22)</f>
        <v>6120.8</v>
      </c>
      <c r="K23" s="279">
        <f t="shared" ref="K23:M23" si="6">SUM(K15:K22)</f>
        <v>4373.5199999999995</v>
      </c>
      <c r="L23" s="279">
        <f t="shared" si="6"/>
        <v>10500</v>
      </c>
      <c r="M23" s="279">
        <f t="shared" si="6"/>
        <v>27871.073427000003</v>
      </c>
      <c r="N23" s="279">
        <f>SUM(I23:M23)</f>
        <v>101907.073427</v>
      </c>
      <c r="O23" s="270"/>
      <c r="P23" s="284"/>
      <c r="Q23" s="270">
        <f>+H23</f>
        <v>79340.800000000003</v>
      </c>
      <c r="R23" s="282">
        <f>+Q23*0.8</f>
        <v>63472.640000000007</v>
      </c>
      <c r="S23" s="286">
        <f>+N23</f>
        <v>101907.073427</v>
      </c>
      <c r="T23" s="282">
        <f>+S23*0.8</f>
        <v>81525.658741599997</v>
      </c>
      <c r="U23" s="270"/>
      <c r="V23" s="270"/>
    </row>
    <row r="24" spans="1:22">
      <c r="A24" s="269"/>
      <c r="B24" s="270"/>
      <c r="C24" s="270"/>
      <c r="D24" s="270"/>
      <c r="E24" s="270"/>
      <c r="F24" s="270"/>
      <c r="G24" s="270"/>
      <c r="H24" s="270"/>
      <c r="I24" s="627"/>
      <c r="J24" s="270"/>
      <c r="K24" s="270"/>
      <c r="L24" s="270"/>
      <c r="M24" s="270"/>
      <c r="N24" s="270"/>
      <c r="O24" s="270"/>
      <c r="P24" s="284"/>
      <c r="Q24" s="284"/>
      <c r="R24" s="282"/>
      <c r="S24" s="282"/>
      <c r="T24" s="270"/>
      <c r="U24" s="270"/>
      <c r="V24" s="270"/>
    </row>
    <row r="25" spans="1:22">
      <c r="A25" s="269">
        <f>+'WP-2, pg 2 - Labor Increase'!A25</f>
        <v>20</v>
      </c>
      <c r="B25" s="270">
        <v>7426.83</v>
      </c>
      <c r="C25" s="270">
        <v>667.35</v>
      </c>
      <c r="D25" s="270"/>
      <c r="E25" s="270">
        <f t="shared" ref="E25:E26" si="7">+E$12</f>
        <v>107.27</v>
      </c>
      <c r="F25" s="270">
        <v>2452.2199999999998</v>
      </c>
      <c r="G25" s="270">
        <v>1500</v>
      </c>
      <c r="H25" s="629">
        <f t="shared" ref="H25:H26" si="8">SUM(B25:G25)</f>
        <v>12153.67</v>
      </c>
      <c r="I25" s="627">
        <f t="shared" ref="I25:I26" si="9">736.69*12</f>
        <v>8840.2800000000007</v>
      </c>
      <c r="J25" s="270"/>
      <c r="K25" s="628">
        <f t="shared" ref="K25:K26" si="10">52.26*12</f>
        <v>627.12</v>
      </c>
      <c r="L25" s="270">
        <v>1500</v>
      </c>
      <c r="M25" s="270">
        <f>+'WP-2, pg 2 - Labor Increase'!R25*0.04</f>
        <v>2612.7040000000006</v>
      </c>
      <c r="N25" s="270">
        <f t="shared" ref="N25:N26" si="11">SUM(I25:M25)</f>
        <v>13580.104000000003</v>
      </c>
      <c r="O25" s="270"/>
      <c r="P25" s="284"/>
      <c r="Q25" s="284"/>
      <c r="R25" s="282"/>
      <c r="S25" s="282"/>
      <c r="T25" s="270"/>
      <c r="U25" s="270"/>
      <c r="V25" s="270"/>
    </row>
    <row r="26" spans="1:22">
      <c r="A26" s="269">
        <f>+'WP-2, pg 2 - Labor Increase'!A26</f>
        <v>21</v>
      </c>
      <c r="B26" s="270">
        <v>6686.19</v>
      </c>
      <c r="C26" s="270">
        <v>1393.05</v>
      </c>
      <c r="D26" s="270"/>
      <c r="E26" s="270">
        <f t="shared" si="7"/>
        <v>107.27</v>
      </c>
      <c r="F26" s="270">
        <v>2492.06</v>
      </c>
      <c r="G26" s="270">
        <v>1500</v>
      </c>
      <c r="H26" s="629">
        <f t="shared" si="8"/>
        <v>12178.57</v>
      </c>
      <c r="I26" s="627">
        <f t="shared" si="9"/>
        <v>8840.2800000000007</v>
      </c>
      <c r="J26" s="270"/>
      <c r="K26" s="628">
        <f t="shared" si="10"/>
        <v>627.12</v>
      </c>
      <c r="L26" s="270">
        <v>1500</v>
      </c>
      <c r="M26" s="270">
        <f>+'WP-2, pg 2 - Labor Increase'!R26*0.04</f>
        <v>2649.9955980000004</v>
      </c>
      <c r="N26" s="270">
        <f t="shared" si="11"/>
        <v>13617.395598000003</v>
      </c>
      <c r="O26" s="270"/>
      <c r="P26" s="284"/>
      <c r="Q26" s="284"/>
      <c r="R26" s="282"/>
      <c r="S26" s="282"/>
      <c r="T26" s="270"/>
      <c r="U26" s="270"/>
      <c r="V26" s="270"/>
    </row>
    <row r="27" spans="1:22">
      <c r="A27" s="526" t="str">
        <f>+'WP-2, pg 2 - Labor Increase'!A27</f>
        <v>HELPERS</v>
      </c>
      <c r="B27" s="279">
        <f t="shared" ref="B27:G27" si="12">SUM(B25:B26)</f>
        <v>14113.02</v>
      </c>
      <c r="C27" s="279">
        <f t="shared" si="12"/>
        <v>2060.4</v>
      </c>
      <c r="D27" s="279">
        <f t="shared" si="12"/>
        <v>0</v>
      </c>
      <c r="E27" s="279">
        <f t="shared" si="12"/>
        <v>214.54</v>
      </c>
      <c r="F27" s="279">
        <f t="shared" si="12"/>
        <v>4944.28</v>
      </c>
      <c r="G27" s="279">
        <f t="shared" si="12"/>
        <v>3000</v>
      </c>
      <c r="H27" s="630">
        <f>SUM(B27:G27)</f>
        <v>24332.239999999998</v>
      </c>
      <c r="I27" s="279">
        <f>SUM(I25:I26)</f>
        <v>17680.560000000001</v>
      </c>
      <c r="J27" s="279"/>
      <c r="K27" s="279">
        <f>SUM(K25:K26)</f>
        <v>1254.24</v>
      </c>
      <c r="L27" s="279">
        <f>SUM(L25:L26)</f>
        <v>3000</v>
      </c>
      <c r="M27" s="279">
        <f>SUM(M25:M26)</f>
        <v>5262.6995980000011</v>
      </c>
      <c r="N27" s="608">
        <f>SUM(I27:M27)</f>
        <v>27197.499598000002</v>
      </c>
      <c r="O27" s="270"/>
      <c r="P27" s="284"/>
      <c r="Q27" s="270">
        <f>+H27</f>
        <v>24332.239999999998</v>
      </c>
      <c r="R27" s="533">
        <f>+'WP-11 - Non-Regulated'!$K$40*Q27</f>
        <v>13478.13828050922</v>
      </c>
      <c r="S27" s="286">
        <f>+N27</f>
        <v>27197.499598000002</v>
      </c>
      <c r="T27" s="533">
        <f>+'WP-11 - Non-Regulated'!$K$40*S27</f>
        <v>15065.265691360022</v>
      </c>
      <c r="U27" s="270"/>
      <c r="V27" s="270"/>
    </row>
    <row r="28" spans="1:22">
      <c r="A28" s="269"/>
      <c r="B28" s="270"/>
      <c r="C28" s="270"/>
      <c r="D28" s="270"/>
      <c r="E28" s="270"/>
      <c r="F28" s="270"/>
      <c r="G28" s="270"/>
      <c r="H28" s="270"/>
      <c r="I28" s="627"/>
      <c r="J28" s="270"/>
      <c r="K28" s="270"/>
      <c r="L28" s="270"/>
      <c r="M28" s="270"/>
      <c r="N28" s="270"/>
      <c r="O28" s="270"/>
      <c r="P28" s="284"/>
      <c r="Q28" s="284"/>
      <c r="R28" s="282"/>
      <c r="S28" s="282"/>
      <c r="T28" s="270"/>
      <c r="U28" s="270"/>
      <c r="V28" s="270"/>
    </row>
    <row r="29" spans="1:22">
      <c r="A29" s="269">
        <f>+'WP-2, pg 2 - Labor Increase'!A29</f>
        <v>30</v>
      </c>
      <c r="B29" s="270">
        <v>7426.83</v>
      </c>
      <c r="C29" s="270">
        <v>667.35</v>
      </c>
      <c r="D29" s="270"/>
      <c r="E29" s="270">
        <f t="shared" ref="E29:E55" si="13">+E$12</f>
        <v>107.27</v>
      </c>
      <c r="F29" s="270">
        <v>2948.85</v>
      </c>
      <c r="G29" s="270">
        <v>1500</v>
      </c>
      <c r="H29" s="629">
        <f t="shared" ref="H29:H55" si="14">SUM(B29:G29)</f>
        <v>12650.300000000001</v>
      </c>
      <c r="I29" s="627">
        <f t="shared" ref="I29:I46" si="15">736.69*12</f>
        <v>8840.2800000000007</v>
      </c>
      <c r="J29" s="270"/>
      <c r="K29" s="628">
        <f t="shared" ref="K29:K45" si="16">52.26*12</f>
        <v>627.12</v>
      </c>
      <c r="L29" s="270">
        <v>1500</v>
      </c>
      <c r="M29" s="270">
        <f>+'WP-2, pg 2 - Labor Increase'!R29*0.04</f>
        <v>3137.3851097399997</v>
      </c>
      <c r="N29" s="270">
        <f t="shared" ref="N29:N55" si="17">SUM(I29:M29)</f>
        <v>14104.785109740002</v>
      </c>
      <c r="O29" s="270"/>
      <c r="P29" s="284"/>
      <c r="Q29" s="284"/>
      <c r="R29" s="282"/>
      <c r="S29" s="282"/>
      <c r="T29" s="270"/>
      <c r="U29" s="270"/>
      <c r="V29" s="270"/>
    </row>
    <row r="30" spans="1:22">
      <c r="A30" s="269">
        <f>+'WP-2, pg 2 - Labor Increase'!A30</f>
        <v>31</v>
      </c>
      <c r="B30" s="270">
        <v>7426.83</v>
      </c>
      <c r="C30" s="270">
        <v>667.35</v>
      </c>
      <c r="D30" s="270"/>
      <c r="E30" s="270">
        <f t="shared" si="13"/>
        <v>107.27</v>
      </c>
      <c r="F30" s="270">
        <v>2746.54</v>
      </c>
      <c r="G30" s="270">
        <v>1500</v>
      </c>
      <c r="H30" s="629">
        <f t="shared" si="14"/>
        <v>12447.990000000002</v>
      </c>
      <c r="I30" s="627">
        <f t="shared" si="15"/>
        <v>8840.2800000000007</v>
      </c>
      <c r="J30" s="270"/>
      <c r="K30" s="628">
        <f t="shared" si="16"/>
        <v>627.12</v>
      </c>
      <c r="L30" s="270">
        <v>1500</v>
      </c>
      <c r="M30" s="270">
        <f>+'WP-2, pg 2 - Labor Increase'!R30*0.04</f>
        <v>3056.1480000000006</v>
      </c>
      <c r="N30" s="270">
        <f t="shared" si="17"/>
        <v>14023.548000000003</v>
      </c>
      <c r="O30" s="270"/>
      <c r="P30" s="284"/>
      <c r="Q30" s="284"/>
      <c r="R30" s="282"/>
      <c r="S30" s="282"/>
      <c r="T30" s="270"/>
      <c r="U30" s="270"/>
      <c r="V30" s="270"/>
    </row>
    <row r="31" spans="1:22">
      <c r="A31" s="269">
        <f>+'WP-2, pg 2 - Labor Increase'!A31</f>
        <v>32</v>
      </c>
      <c r="B31" s="270">
        <v>7426.83</v>
      </c>
      <c r="C31" s="270">
        <v>667.35</v>
      </c>
      <c r="D31" s="270"/>
      <c r="E31" s="270">
        <f t="shared" si="13"/>
        <v>107.27</v>
      </c>
      <c r="F31" s="270">
        <v>3204.56</v>
      </c>
      <c r="G31" s="270">
        <v>1500</v>
      </c>
      <c r="H31" s="629">
        <f t="shared" si="14"/>
        <v>12906.01</v>
      </c>
      <c r="I31" s="627">
        <f t="shared" si="15"/>
        <v>8840.2800000000007</v>
      </c>
      <c r="J31" s="270"/>
      <c r="K31" s="628">
        <f t="shared" si="16"/>
        <v>627.12</v>
      </c>
      <c r="L31" s="270">
        <v>1500</v>
      </c>
      <c r="M31" s="270">
        <f>+'WP-2, pg 2 - Labor Increase'!R31*0.04</f>
        <v>3382.8716568000009</v>
      </c>
      <c r="N31" s="270">
        <f t="shared" si="17"/>
        <v>14350.271656800003</v>
      </c>
      <c r="O31" s="270"/>
      <c r="P31" s="284"/>
      <c r="Q31" s="284"/>
      <c r="R31" s="282"/>
      <c r="S31" s="282"/>
      <c r="T31" s="270"/>
      <c r="U31" s="270"/>
      <c r="V31" s="270"/>
    </row>
    <row r="32" spans="1:22">
      <c r="A32" s="269">
        <f>+'WP-2, pg 2 - Labor Increase'!A32</f>
        <v>33</v>
      </c>
      <c r="B32" s="270">
        <v>7426.83</v>
      </c>
      <c r="C32" s="270">
        <v>667.35</v>
      </c>
      <c r="D32" s="270"/>
      <c r="E32" s="270">
        <f t="shared" si="13"/>
        <v>107.27</v>
      </c>
      <c r="F32" s="270">
        <v>3784.81</v>
      </c>
      <c r="G32" s="270">
        <v>1500</v>
      </c>
      <c r="H32" s="629">
        <f t="shared" si="14"/>
        <v>13486.26</v>
      </c>
      <c r="I32" s="627">
        <f t="shared" si="15"/>
        <v>8840.2800000000007</v>
      </c>
      <c r="J32" s="270"/>
      <c r="K32" s="628">
        <f t="shared" si="16"/>
        <v>627.12</v>
      </c>
      <c r="L32" s="270">
        <v>1500</v>
      </c>
      <c r="M32" s="270">
        <f>+'WP-2, pg 2 - Labor Increase'!R32*0.04</f>
        <v>4008.0238943200002</v>
      </c>
      <c r="N32" s="270">
        <f t="shared" si="17"/>
        <v>14975.423894320002</v>
      </c>
      <c r="O32" s="270"/>
      <c r="P32" s="284"/>
      <c r="Q32" s="284"/>
      <c r="R32" s="282"/>
      <c r="S32" s="282"/>
      <c r="T32" s="270"/>
      <c r="U32" s="270"/>
      <c r="V32" s="270"/>
    </row>
    <row r="33" spans="1:22">
      <c r="A33" s="269">
        <f>+'WP-2, pg 2 - Labor Increase'!A33</f>
        <v>34</v>
      </c>
      <c r="B33" s="270">
        <v>7426.83</v>
      </c>
      <c r="C33" s="270">
        <v>667.35</v>
      </c>
      <c r="D33" s="270"/>
      <c r="E33" s="270">
        <f t="shared" si="13"/>
        <v>107.27</v>
      </c>
      <c r="F33" s="270">
        <v>3570.86</v>
      </c>
      <c r="G33" s="270">
        <v>1500</v>
      </c>
      <c r="H33" s="629">
        <f t="shared" si="14"/>
        <v>13272.310000000001</v>
      </c>
      <c r="I33" s="627">
        <f t="shared" si="15"/>
        <v>8840.2800000000007</v>
      </c>
      <c r="J33" s="270"/>
      <c r="K33" s="628">
        <f t="shared" si="16"/>
        <v>627.12</v>
      </c>
      <c r="L33" s="270">
        <v>1500</v>
      </c>
      <c r="M33" s="270">
        <f>+'WP-2, pg 2 - Labor Increase'!R33*0.04</f>
        <v>3807.0921999999991</v>
      </c>
      <c r="N33" s="270">
        <f t="shared" si="17"/>
        <v>14774.492200000001</v>
      </c>
      <c r="O33" s="270"/>
      <c r="P33" s="284"/>
      <c r="Q33" s="284"/>
      <c r="R33" s="282"/>
      <c r="S33" s="282"/>
      <c r="T33" s="270"/>
      <c r="U33" s="270"/>
      <c r="V33" s="270"/>
    </row>
    <row r="34" spans="1:22">
      <c r="A34" s="269">
        <f>+'WP-2, pg 2 - Labor Increase'!A34</f>
        <v>35</v>
      </c>
      <c r="B34" s="270">
        <v>7426.83</v>
      </c>
      <c r="C34" s="270">
        <v>667.35</v>
      </c>
      <c r="D34" s="270"/>
      <c r="E34" s="270">
        <f t="shared" si="13"/>
        <v>107.27</v>
      </c>
      <c r="F34" s="270">
        <v>3357.63</v>
      </c>
      <c r="G34" s="270">
        <v>1500</v>
      </c>
      <c r="H34" s="629">
        <f t="shared" si="14"/>
        <v>13059.080000000002</v>
      </c>
      <c r="I34" s="627">
        <f t="shared" si="15"/>
        <v>8840.2800000000007</v>
      </c>
      <c r="J34" s="270"/>
      <c r="K34" s="628">
        <f t="shared" si="16"/>
        <v>627.12</v>
      </c>
      <c r="L34" s="270">
        <v>1500</v>
      </c>
      <c r="M34" s="270">
        <f>+'WP-2, pg 2 - Labor Increase'!R34*0.04</f>
        <v>3510.1968000000002</v>
      </c>
      <c r="N34" s="270">
        <f t="shared" si="17"/>
        <v>14477.596800000001</v>
      </c>
      <c r="O34" s="270"/>
      <c r="P34" s="284"/>
      <c r="Q34" s="284"/>
      <c r="R34" s="282"/>
      <c r="S34" s="282"/>
      <c r="T34" s="270"/>
      <c r="U34" s="270"/>
      <c r="V34" s="270"/>
    </row>
    <row r="35" spans="1:22">
      <c r="A35" s="269">
        <f>+'WP-2, pg 2 - Labor Increase'!A35</f>
        <v>36</v>
      </c>
      <c r="B35" s="270">
        <v>7426.83</v>
      </c>
      <c r="C35" s="270">
        <v>667.35</v>
      </c>
      <c r="D35" s="270"/>
      <c r="E35" s="270">
        <f t="shared" si="13"/>
        <v>107.27</v>
      </c>
      <c r="F35" s="270">
        <v>3339.39</v>
      </c>
      <c r="G35" s="270">
        <v>1500</v>
      </c>
      <c r="H35" s="629">
        <f t="shared" si="14"/>
        <v>13040.84</v>
      </c>
      <c r="I35" s="627">
        <f t="shared" si="15"/>
        <v>8840.2800000000007</v>
      </c>
      <c r="J35" s="270"/>
      <c r="K35" s="628">
        <f t="shared" si="16"/>
        <v>627.12</v>
      </c>
      <c r="L35" s="270">
        <v>1500</v>
      </c>
      <c r="M35" s="270">
        <f>+'WP-2, pg 2 - Labor Increase'!R35*0.04</f>
        <v>3735.6860499999998</v>
      </c>
      <c r="N35" s="270">
        <f t="shared" si="17"/>
        <v>14703.086050000002</v>
      </c>
      <c r="O35" s="270"/>
      <c r="P35" s="284"/>
      <c r="Q35" s="284"/>
      <c r="R35" s="282"/>
      <c r="S35" s="282"/>
      <c r="T35" s="270"/>
      <c r="U35" s="270"/>
      <c r="V35" s="270"/>
    </row>
    <row r="36" spans="1:22">
      <c r="A36" s="269">
        <f>+'WP-2, pg 2 - Labor Increase'!A36</f>
        <v>37</v>
      </c>
      <c r="B36" s="270">
        <v>7426.83</v>
      </c>
      <c r="C36" s="270">
        <v>667.35</v>
      </c>
      <c r="D36" s="270"/>
      <c r="E36" s="270">
        <f t="shared" si="13"/>
        <v>107.27</v>
      </c>
      <c r="F36" s="270">
        <v>2667.81</v>
      </c>
      <c r="G36" s="270">
        <v>1500</v>
      </c>
      <c r="H36" s="629">
        <f t="shared" si="14"/>
        <v>12369.26</v>
      </c>
      <c r="I36" s="627">
        <f t="shared" si="15"/>
        <v>8840.2800000000007</v>
      </c>
      <c r="J36" s="270"/>
      <c r="K36" s="628">
        <f t="shared" si="16"/>
        <v>627.12</v>
      </c>
      <c r="L36" s="270">
        <v>1500</v>
      </c>
      <c r="M36" s="270">
        <f>+'WP-2, pg 2 - Labor Increase'!R36*0.04</f>
        <v>3021.0479999999993</v>
      </c>
      <c r="N36" s="270">
        <f t="shared" si="17"/>
        <v>13988.448</v>
      </c>
      <c r="O36" s="270"/>
      <c r="P36" s="284"/>
      <c r="Q36" s="284"/>
      <c r="R36" s="282"/>
      <c r="S36" s="282"/>
      <c r="T36" s="270"/>
      <c r="U36" s="270"/>
      <c r="V36" s="270"/>
    </row>
    <row r="37" spans="1:22">
      <c r="A37" s="269">
        <f>+'WP-2, pg 2 - Labor Increase'!A37</f>
        <v>56</v>
      </c>
      <c r="B37" s="270">
        <v>0</v>
      </c>
      <c r="C37" s="270"/>
      <c r="D37" s="270"/>
      <c r="E37" s="270"/>
      <c r="F37" s="270"/>
      <c r="G37" s="270"/>
      <c r="H37" s="629">
        <f t="shared" si="14"/>
        <v>0</v>
      </c>
      <c r="I37" s="627">
        <f t="shared" si="15"/>
        <v>8840.2800000000007</v>
      </c>
      <c r="J37" s="270"/>
      <c r="K37" s="628">
        <f t="shared" si="16"/>
        <v>627.12</v>
      </c>
      <c r="L37" s="270">
        <v>1500</v>
      </c>
      <c r="M37" s="270">
        <f>+'WP-2, pg 2 - Labor Increase'!R37*0.04</f>
        <v>2612.8406400000058</v>
      </c>
      <c r="N37" s="270">
        <f t="shared" si="17"/>
        <v>13580.240640000007</v>
      </c>
      <c r="O37" s="270"/>
      <c r="P37" s="284"/>
      <c r="Q37" s="284"/>
      <c r="R37" s="282"/>
      <c r="S37" s="282"/>
      <c r="T37" s="270"/>
      <c r="U37" s="270"/>
      <c r="V37" s="270"/>
    </row>
    <row r="38" spans="1:22">
      <c r="A38" s="269">
        <f>+'WP-2, pg 2 - Labor Increase'!A38</f>
        <v>38</v>
      </c>
      <c r="B38" s="270">
        <v>7426.83</v>
      </c>
      <c r="C38" s="270">
        <v>667.35</v>
      </c>
      <c r="D38" s="270"/>
      <c r="E38" s="270">
        <f t="shared" si="13"/>
        <v>107.27</v>
      </c>
      <c r="F38" s="270"/>
      <c r="G38" s="270">
        <v>1500</v>
      </c>
      <c r="H38" s="629">
        <f t="shared" si="14"/>
        <v>9701.4500000000007</v>
      </c>
      <c r="I38" s="627">
        <f t="shared" si="15"/>
        <v>8840.2800000000007</v>
      </c>
      <c r="J38" s="270"/>
      <c r="K38" s="628">
        <f t="shared" si="16"/>
        <v>627.12</v>
      </c>
      <c r="L38" s="270">
        <v>1500</v>
      </c>
      <c r="M38" s="270">
        <f>+'WP-2, pg 2 - Labor Increase'!R38*0.04</f>
        <v>1769.7504000000001</v>
      </c>
      <c r="N38" s="270">
        <f t="shared" si="17"/>
        <v>12737.150400000002</v>
      </c>
      <c r="O38" s="270"/>
      <c r="P38" s="284"/>
      <c r="Q38" s="284"/>
      <c r="R38" s="282"/>
      <c r="S38" s="282"/>
      <c r="T38" s="270"/>
      <c r="U38" s="270"/>
      <c r="V38" s="270"/>
    </row>
    <row r="39" spans="1:22">
      <c r="A39" s="269">
        <f>+'WP-2, pg 2 - Labor Increase'!A39</f>
        <v>39</v>
      </c>
      <c r="B39" s="270">
        <v>7426.83</v>
      </c>
      <c r="C39" s="270">
        <v>667.35</v>
      </c>
      <c r="D39" s="270"/>
      <c r="E39" s="270">
        <f t="shared" si="13"/>
        <v>107.27</v>
      </c>
      <c r="F39" s="270">
        <v>2883.76</v>
      </c>
      <c r="G39" s="270">
        <v>1500</v>
      </c>
      <c r="H39" s="629">
        <f t="shared" si="14"/>
        <v>12585.210000000001</v>
      </c>
      <c r="I39" s="627">
        <f t="shared" si="15"/>
        <v>8840.2800000000007</v>
      </c>
      <c r="J39" s="270"/>
      <c r="K39" s="628">
        <f t="shared" si="16"/>
        <v>627.12</v>
      </c>
      <c r="L39" s="270">
        <v>1500</v>
      </c>
      <c r="M39" s="270">
        <f>+'WP-2, pg 2 - Labor Increase'!R39*0.04</f>
        <v>3064.8348908400008</v>
      </c>
      <c r="N39" s="270">
        <f t="shared" si="17"/>
        <v>14032.234890840002</v>
      </c>
      <c r="O39" s="270"/>
      <c r="P39" s="284"/>
      <c r="Q39" s="284"/>
      <c r="R39" s="282"/>
      <c r="S39" s="282"/>
      <c r="T39" s="270"/>
      <c r="U39" s="270"/>
      <c r="V39" s="270"/>
    </row>
    <row r="40" spans="1:22">
      <c r="A40" s="269">
        <f>+'WP-2, pg 2 - Labor Increase'!A40</f>
        <v>40</v>
      </c>
      <c r="B40" s="270">
        <v>7426.83</v>
      </c>
      <c r="C40" s="270">
        <v>667.35</v>
      </c>
      <c r="D40" s="270"/>
      <c r="E40" s="270">
        <f t="shared" si="13"/>
        <v>107.27</v>
      </c>
      <c r="F40" s="270">
        <v>2203.4</v>
      </c>
      <c r="G40" s="270"/>
      <c r="H40" s="629">
        <f t="shared" si="14"/>
        <v>10404.85</v>
      </c>
      <c r="I40" s="627">
        <f t="shared" si="15"/>
        <v>8840.2800000000007</v>
      </c>
      <c r="J40" s="270"/>
      <c r="K40" s="628">
        <f t="shared" si="16"/>
        <v>627.12</v>
      </c>
      <c r="L40" s="270">
        <v>1500</v>
      </c>
      <c r="M40" s="270">
        <f>+'WP-2, pg 2 - Labor Increase'!R40*0.04</f>
        <v>0</v>
      </c>
      <c r="N40" s="270">
        <f t="shared" si="17"/>
        <v>10967.400000000001</v>
      </c>
      <c r="O40" s="270"/>
      <c r="P40" s="284"/>
      <c r="Q40" s="284"/>
      <c r="R40" s="282"/>
      <c r="S40" s="282"/>
      <c r="T40" s="270"/>
      <c r="U40" s="270"/>
      <c r="V40" s="270"/>
    </row>
    <row r="41" spans="1:22">
      <c r="A41" s="269">
        <f>+'WP-2, pg 2 - Labor Increase'!A41</f>
        <v>41</v>
      </c>
      <c r="B41" s="270">
        <v>7426.83</v>
      </c>
      <c r="C41" s="270">
        <v>667.35</v>
      </c>
      <c r="D41" s="270"/>
      <c r="E41" s="270">
        <f t="shared" si="13"/>
        <v>107.27</v>
      </c>
      <c r="F41" s="270">
        <v>2812.86</v>
      </c>
      <c r="G41" s="270">
        <v>1500</v>
      </c>
      <c r="H41" s="629">
        <f t="shared" si="14"/>
        <v>12514.310000000001</v>
      </c>
      <c r="I41" s="627">
        <f t="shared" si="15"/>
        <v>8840.2800000000007</v>
      </c>
      <c r="J41" s="270"/>
      <c r="K41" s="628">
        <f t="shared" si="16"/>
        <v>627.12</v>
      </c>
      <c r="L41" s="270">
        <v>1500</v>
      </c>
      <c r="M41" s="270">
        <f>+'WP-2, pg 2 - Labor Increase'!R41*0.04</f>
        <v>3001.962435200001</v>
      </c>
      <c r="N41" s="270">
        <f t="shared" si="17"/>
        <v>13969.362435200002</v>
      </c>
      <c r="O41" s="270"/>
      <c r="P41" s="284"/>
      <c r="Q41" s="284"/>
      <c r="R41" s="282"/>
      <c r="S41" s="282"/>
      <c r="T41" s="270"/>
      <c r="U41" s="270"/>
      <c r="V41" s="270"/>
    </row>
    <row r="42" spans="1:22">
      <c r="A42" s="269">
        <f>+'WP-2, pg 2 - Labor Increase'!A42</f>
        <v>42</v>
      </c>
      <c r="B42" s="270">
        <v>3634.26</v>
      </c>
      <c r="C42" s="270">
        <v>331.35</v>
      </c>
      <c r="D42" s="270"/>
      <c r="E42" s="270">
        <f t="shared" si="13"/>
        <v>107.27</v>
      </c>
      <c r="F42" s="270">
        <v>1192.97</v>
      </c>
      <c r="G42" s="270"/>
      <c r="H42" s="629">
        <f t="shared" si="14"/>
        <v>5265.85</v>
      </c>
      <c r="I42" s="627">
        <f t="shared" si="15"/>
        <v>8840.2800000000007</v>
      </c>
      <c r="J42" s="270"/>
      <c r="K42" s="628">
        <f t="shared" si="16"/>
        <v>627.12</v>
      </c>
      <c r="L42" s="270">
        <v>1500</v>
      </c>
      <c r="M42" s="270">
        <f>+'WP-2, pg 2 - Labor Increase'!R42*0.04</f>
        <v>0</v>
      </c>
      <c r="N42" s="270">
        <f t="shared" si="17"/>
        <v>10967.400000000001</v>
      </c>
      <c r="O42" s="270"/>
      <c r="P42" s="284"/>
      <c r="Q42" s="284"/>
      <c r="R42" s="282"/>
      <c r="S42" s="282"/>
      <c r="T42" s="270"/>
      <c r="U42" s="270"/>
      <c r="V42" s="270"/>
    </row>
    <row r="43" spans="1:22">
      <c r="A43" s="269">
        <f>+'WP-2, pg 2 - Labor Increase'!A43</f>
        <v>43</v>
      </c>
      <c r="B43" s="270">
        <v>7426.83</v>
      </c>
      <c r="C43" s="270">
        <v>667.35</v>
      </c>
      <c r="D43" s="270"/>
      <c r="E43" s="270">
        <f t="shared" si="13"/>
        <v>107.27</v>
      </c>
      <c r="F43" s="270">
        <v>2343.84</v>
      </c>
      <c r="G43" s="270">
        <v>1500</v>
      </c>
      <c r="H43" s="629">
        <f t="shared" si="14"/>
        <v>12045.29</v>
      </c>
      <c r="I43" s="627">
        <f t="shared" si="15"/>
        <v>8840.2800000000007</v>
      </c>
      <c r="J43" s="270"/>
      <c r="K43" s="628">
        <f>50.9*12</f>
        <v>610.79999999999995</v>
      </c>
      <c r="L43" s="270">
        <v>1500</v>
      </c>
      <c r="M43" s="270">
        <f>+'WP-2, pg 2 - Labor Increase'!R43*0.04</f>
        <v>2583.8223999999996</v>
      </c>
      <c r="N43" s="270">
        <f t="shared" si="17"/>
        <v>13534.902399999999</v>
      </c>
      <c r="O43" s="270"/>
      <c r="P43" s="284"/>
      <c r="Q43" s="284"/>
      <c r="R43" s="282"/>
      <c r="S43" s="282"/>
      <c r="T43" s="270"/>
      <c r="U43" s="270"/>
      <c r="V43" s="270"/>
    </row>
    <row r="44" spans="1:22">
      <c r="A44" s="269">
        <f>+'WP-2, pg 2 - Labor Increase'!A44</f>
        <v>44</v>
      </c>
      <c r="B44" s="270">
        <v>7426.83</v>
      </c>
      <c r="C44" s="270">
        <v>667.35</v>
      </c>
      <c r="D44" s="270"/>
      <c r="E44" s="270">
        <f t="shared" si="13"/>
        <v>107.27</v>
      </c>
      <c r="F44" s="270">
        <v>3350.74</v>
      </c>
      <c r="G44" s="270">
        <v>1500</v>
      </c>
      <c r="H44" s="629">
        <f t="shared" si="14"/>
        <v>13052.19</v>
      </c>
      <c r="I44" s="627">
        <f t="shared" si="15"/>
        <v>8840.2800000000007</v>
      </c>
      <c r="J44" s="270"/>
      <c r="K44" s="628">
        <f t="shared" si="16"/>
        <v>627.12</v>
      </c>
      <c r="L44" s="270">
        <v>1500</v>
      </c>
      <c r="M44" s="270">
        <f>+'WP-2, pg 2 - Labor Increase'!R44*0.04</f>
        <v>3960.1910459000001</v>
      </c>
      <c r="N44" s="270">
        <f t="shared" si="17"/>
        <v>14927.591045900001</v>
      </c>
      <c r="O44" s="270"/>
      <c r="P44" s="284"/>
      <c r="Q44" s="284"/>
      <c r="R44" s="282"/>
      <c r="S44" s="282"/>
      <c r="T44" s="270"/>
      <c r="U44" s="270"/>
      <c r="V44" s="270"/>
    </row>
    <row r="45" spans="1:22">
      <c r="A45" s="269">
        <f>+'WP-2, pg 2 - Labor Increase'!A45</f>
        <v>45</v>
      </c>
      <c r="B45" s="270">
        <v>7426.83</v>
      </c>
      <c r="C45" s="270">
        <v>667.35</v>
      </c>
      <c r="D45" s="270"/>
      <c r="E45" s="270">
        <f t="shared" si="13"/>
        <v>107.27</v>
      </c>
      <c r="F45" s="270">
        <v>2511.85</v>
      </c>
      <c r="G45" s="270">
        <v>1500</v>
      </c>
      <c r="H45" s="629">
        <f t="shared" si="14"/>
        <v>12213.300000000001</v>
      </c>
      <c r="I45" s="627">
        <f t="shared" si="15"/>
        <v>8840.2800000000007</v>
      </c>
      <c r="J45" s="270"/>
      <c r="K45" s="628">
        <f t="shared" si="16"/>
        <v>627.12</v>
      </c>
      <c r="L45" s="270">
        <v>1500</v>
      </c>
      <c r="M45" s="270">
        <f>+'WP-2, pg 2 - Labor Increase'!R45*0.04</f>
        <v>2697.7640000000001</v>
      </c>
      <c r="N45" s="270">
        <f t="shared" si="17"/>
        <v>13665.164000000001</v>
      </c>
      <c r="O45" s="270"/>
      <c r="P45" s="284"/>
      <c r="Q45" s="284"/>
      <c r="R45" s="282"/>
      <c r="S45" s="282"/>
      <c r="T45" s="270"/>
      <c r="U45" s="270"/>
      <c r="V45" s="270"/>
    </row>
    <row r="46" spans="1:22">
      <c r="A46" s="269">
        <f>+'WP-2, pg 2 - Labor Increase'!A46</f>
        <v>46</v>
      </c>
      <c r="B46" s="270">
        <v>7426.83</v>
      </c>
      <c r="C46" s="270">
        <v>667.35</v>
      </c>
      <c r="D46" s="270"/>
      <c r="E46" s="270">
        <f t="shared" si="13"/>
        <v>107.27</v>
      </c>
      <c r="F46" s="270">
        <v>3219.85</v>
      </c>
      <c r="G46" s="270">
        <v>1500</v>
      </c>
      <c r="H46" s="629">
        <f t="shared" si="14"/>
        <v>12921.300000000001</v>
      </c>
      <c r="I46" s="627">
        <f t="shared" si="15"/>
        <v>8840.2800000000007</v>
      </c>
      <c r="J46" s="270"/>
      <c r="K46" s="628">
        <f>102.09*12</f>
        <v>1225.08</v>
      </c>
      <c r="L46" s="270">
        <v>1500</v>
      </c>
      <c r="M46" s="270">
        <f>+'WP-2, pg 2 - Labor Increase'!R46*0.04</f>
        <v>3401.8472719999995</v>
      </c>
      <c r="N46" s="270">
        <f t="shared" si="17"/>
        <v>14967.207272</v>
      </c>
      <c r="O46" s="270"/>
      <c r="P46" s="284"/>
      <c r="Q46" s="284"/>
      <c r="R46" s="282"/>
      <c r="S46" s="282"/>
      <c r="T46" s="270"/>
      <c r="U46" s="270"/>
      <c r="V46" s="270"/>
    </row>
    <row r="47" spans="1:22">
      <c r="A47" s="269">
        <f>+'WP-2, pg 2 - Labor Increase'!A47</f>
        <v>47</v>
      </c>
      <c r="B47" s="270">
        <v>3792.57</v>
      </c>
      <c r="C47" s="885">
        <v>336</v>
      </c>
      <c r="D47" s="270"/>
      <c r="E47" s="270">
        <f t="shared" si="13"/>
        <v>107.27</v>
      </c>
      <c r="F47" s="270"/>
      <c r="G47" s="270"/>
      <c r="H47" s="629">
        <f t="shared" si="14"/>
        <v>4235.84</v>
      </c>
      <c r="I47" s="627"/>
      <c r="J47" s="270"/>
      <c r="K47" s="628"/>
      <c r="L47" s="270">
        <v>1500</v>
      </c>
      <c r="M47" s="270">
        <f>+'WP-2, pg 2 - Labor Increase'!R47*0.04</f>
        <v>2247.7920000000004</v>
      </c>
      <c r="N47" s="270">
        <f t="shared" si="17"/>
        <v>3747.7920000000004</v>
      </c>
      <c r="O47" s="270"/>
      <c r="P47" s="284"/>
      <c r="Q47" s="284"/>
      <c r="R47" s="282"/>
      <c r="S47" s="282"/>
      <c r="T47" s="270"/>
      <c r="U47" s="270"/>
      <c r="V47" s="270"/>
    </row>
    <row r="48" spans="1:22">
      <c r="A48" s="269">
        <f>+'WP-2, pg 2 - Labor Increase'!A48</f>
        <v>48</v>
      </c>
      <c r="B48" s="270">
        <v>7303.24</v>
      </c>
      <c r="C48" s="270">
        <v>667.35</v>
      </c>
      <c r="D48" s="270"/>
      <c r="E48" s="270">
        <f t="shared" si="13"/>
        <v>107.27</v>
      </c>
      <c r="F48" s="270">
        <v>2661.69</v>
      </c>
      <c r="G48" s="270">
        <v>1500</v>
      </c>
      <c r="H48" s="629">
        <f t="shared" si="14"/>
        <v>12239.550000000001</v>
      </c>
      <c r="I48" s="627">
        <f t="shared" ref="I48:I54" si="18">736.69*12</f>
        <v>8840.2800000000007</v>
      </c>
      <c r="J48" s="270"/>
      <c r="K48" s="628">
        <f>110.34*12</f>
        <v>1324.08</v>
      </c>
      <c r="L48" s="270">
        <v>1500</v>
      </c>
      <c r="M48" s="270">
        <f>+'WP-2, pg 2 - Labor Increase'!R48*0.04</f>
        <v>2859.8889678</v>
      </c>
      <c r="N48" s="270">
        <f t="shared" si="17"/>
        <v>14524.2489678</v>
      </c>
      <c r="O48" s="270"/>
      <c r="P48" s="284"/>
      <c r="Q48" s="284"/>
      <c r="R48" s="282"/>
      <c r="S48" s="282"/>
      <c r="T48" s="270"/>
      <c r="U48" s="270"/>
      <c r="V48" s="270"/>
    </row>
    <row r="49" spans="1:22">
      <c r="A49" s="269">
        <f>+'WP-2, pg 2 - Labor Increase'!A49</f>
        <v>49</v>
      </c>
      <c r="B49" s="270">
        <v>1959.87</v>
      </c>
      <c r="C49" s="270">
        <v>112</v>
      </c>
      <c r="D49" s="270"/>
      <c r="E49" s="270">
        <f t="shared" si="13"/>
        <v>107.27</v>
      </c>
      <c r="F49" s="270"/>
      <c r="G49" s="270">
        <v>375</v>
      </c>
      <c r="H49" s="629">
        <f t="shared" si="14"/>
        <v>2554.14</v>
      </c>
      <c r="I49" s="627">
        <f t="shared" si="18"/>
        <v>8840.2800000000007</v>
      </c>
      <c r="J49" s="270"/>
      <c r="K49" s="628">
        <f t="shared" ref="K49" si="19">52.26*12</f>
        <v>627.12</v>
      </c>
      <c r="L49" s="270">
        <v>1500</v>
      </c>
      <c r="M49" s="270">
        <f>+'WP-2, pg 2 - Labor Increase'!R49*0.04</f>
        <v>2953.2470521739133</v>
      </c>
      <c r="N49" s="270">
        <f t="shared" si="17"/>
        <v>13920.647052173914</v>
      </c>
      <c r="O49" s="270"/>
      <c r="P49" s="284"/>
      <c r="Q49" s="284"/>
      <c r="R49" s="282"/>
      <c r="S49" s="282"/>
      <c r="T49" s="270"/>
      <c r="U49" s="270"/>
      <c r="V49" s="270"/>
    </row>
    <row r="50" spans="1:22">
      <c r="A50" s="269">
        <f>+'WP-2, pg 2 - Labor Increase'!A50</f>
        <v>50</v>
      </c>
      <c r="B50" s="270">
        <v>7426.83</v>
      </c>
      <c r="C50" s="270">
        <v>667.35</v>
      </c>
      <c r="D50" s="270"/>
      <c r="E50" s="270">
        <f t="shared" si="13"/>
        <v>107.27</v>
      </c>
      <c r="F50" s="270">
        <v>1442.39</v>
      </c>
      <c r="G50" s="270"/>
      <c r="H50" s="629">
        <f t="shared" si="14"/>
        <v>9643.84</v>
      </c>
      <c r="I50" s="627"/>
      <c r="J50" s="270"/>
      <c r="K50" s="628"/>
      <c r="L50" s="270">
        <v>1500</v>
      </c>
      <c r="M50" s="270">
        <f>+'WP-2, pg 2 - Labor Increase'!R50*0.04</f>
        <v>0</v>
      </c>
      <c r="N50" s="270">
        <f t="shared" si="17"/>
        <v>1500</v>
      </c>
      <c r="O50" s="270"/>
      <c r="P50" s="284"/>
      <c r="Q50" s="284"/>
      <c r="R50" s="282"/>
      <c r="S50" s="282"/>
      <c r="T50" s="270"/>
      <c r="U50" s="270"/>
      <c r="V50" s="270"/>
    </row>
    <row r="51" spans="1:22">
      <c r="A51" s="269">
        <f>+'WP-2, pg 2 - Labor Increase'!A51</f>
        <v>51</v>
      </c>
      <c r="B51" s="270">
        <v>7426.83</v>
      </c>
      <c r="C51" s="270">
        <v>667.35</v>
      </c>
      <c r="D51" s="270"/>
      <c r="E51" s="270">
        <f t="shared" si="13"/>
        <v>107.27</v>
      </c>
      <c r="F51" s="270">
        <v>2710.48</v>
      </c>
      <c r="G51" s="270">
        <v>1500</v>
      </c>
      <c r="H51" s="629">
        <f t="shared" si="14"/>
        <v>12411.93</v>
      </c>
      <c r="I51" s="627">
        <f t="shared" si="18"/>
        <v>8840.2800000000007</v>
      </c>
      <c r="J51" s="270"/>
      <c r="K51" s="628">
        <f t="shared" ref="K51:K54" si="20">52.26*12</f>
        <v>627.12</v>
      </c>
      <c r="L51" s="270">
        <v>1500</v>
      </c>
      <c r="M51" s="270">
        <f>+'WP-2, pg 2 - Labor Increase'!R51*0.04</f>
        <v>2911.6600000000008</v>
      </c>
      <c r="N51" s="270">
        <f t="shared" si="17"/>
        <v>13879.060000000001</v>
      </c>
      <c r="O51" s="270"/>
      <c r="P51" s="284"/>
      <c r="Q51" s="284"/>
      <c r="R51" s="282"/>
      <c r="S51" s="282"/>
      <c r="T51" s="270"/>
      <c r="U51" s="270"/>
      <c r="V51" s="270"/>
    </row>
    <row r="52" spans="1:22">
      <c r="A52" s="269">
        <f>+'WP-2, pg 2 - Labor Increase'!A52</f>
        <v>52</v>
      </c>
      <c r="B52" s="270">
        <v>7426.83</v>
      </c>
      <c r="C52" s="270">
        <v>667.35</v>
      </c>
      <c r="D52" s="270"/>
      <c r="E52" s="270">
        <f t="shared" si="13"/>
        <v>107.27</v>
      </c>
      <c r="F52" s="270">
        <v>3192.68</v>
      </c>
      <c r="G52" s="270">
        <v>1500</v>
      </c>
      <c r="H52" s="629">
        <f t="shared" si="14"/>
        <v>12894.130000000001</v>
      </c>
      <c r="I52" s="627">
        <f t="shared" si="18"/>
        <v>8840.2800000000007</v>
      </c>
      <c r="J52" s="270"/>
      <c r="K52" s="628">
        <f t="shared" si="20"/>
        <v>627.12</v>
      </c>
      <c r="L52" s="270">
        <v>1500</v>
      </c>
      <c r="M52" s="270">
        <f>+'WP-2, pg 2 - Labor Increase'!R52*0.04</f>
        <v>3262.19632</v>
      </c>
      <c r="N52" s="270">
        <f t="shared" si="17"/>
        <v>14229.596320000001</v>
      </c>
      <c r="O52" s="270"/>
      <c r="P52" s="284"/>
      <c r="Q52" s="284"/>
      <c r="R52" s="282"/>
      <c r="S52" s="282"/>
      <c r="T52" s="270"/>
      <c r="U52" s="270"/>
      <c r="V52" s="270"/>
    </row>
    <row r="53" spans="1:22">
      <c r="A53" s="269">
        <f>+'WP-2, pg 2 - Labor Increase'!A53</f>
        <v>53</v>
      </c>
      <c r="B53" s="270">
        <v>7825.04</v>
      </c>
      <c r="C53" s="270">
        <v>667.35</v>
      </c>
      <c r="D53" s="270"/>
      <c r="E53" s="270">
        <f t="shared" si="13"/>
        <v>107.27</v>
      </c>
      <c r="F53" s="270">
        <v>3514.45</v>
      </c>
      <c r="G53" s="270">
        <v>1500</v>
      </c>
      <c r="H53" s="629">
        <f t="shared" si="14"/>
        <v>13614.11</v>
      </c>
      <c r="I53" s="627">
        <f t="shared" si="18"/>
        <v>8840.2800000000007</v>
      </c>
      <c r="J53" s="270"/>
      <c r="K53" s="628">
        <f t="shared" si="20"/>
        <v>627.12</v>
      </c>
      <c r="L53" s="270">
        <v>1500</v>
      </c>
      <c r="M53" s="270">
        <f>+'WP-2, pg 2 - Labor Increase'!R53*0.04</f>
        <v>3469.9470200000001</v>
      </c>
      <c r="N53" s="270">
        <f t="shared" si="17"/>
        <v>14437.347020000001</v>
      </c>
      <c r="O53" s="270"/>
      <c r="P53" s="284"/>
      <c r="Q53" s="284"/>
      <c r="R53" s="282"/>
      <c r="S53" s="282"/>
      <c r="T53" s="270"/>
      <c r="U53" s="270"/>
      <c r="V53" s="270"/>
    </row>
    <row r="54" spans="1:22">
      <c r="A54" s="269">
        <f>+'WP-2, pg 2 - Labor Increase'!A54</f>
        <v>54</v>
      </c>
      <c r="B54" s="270">
        <v>7426.83</v>
      </c>
      <c r="C54" s="270">
        <v>667.35</v>
      </c>
      <c r="D54" s="270"/>
      <c r="E54" s="270">
        <f t="shared" si="13"/>
        <v>107.27</v>
      </c>
      <c r="F54" s="270">
        <v>2276.77</v>
      </c>
      <c r="G54" s="270">
        <v>1500</v>
      </c>
      <c r="H54" s="629">
        <f t="shared" si="14"/>
        <v>11978.220000000001</v>
      </c>
      <c r="I54" s="627">
        <f t="shared" si="18"/>
        <v>8840.2800000000007</v>
      </c>
      <c r="J54" s="270"/>
      <c r="K54" s="628">
        <f t="shared" si="20"/>
        <v>627.12</v>
      </c>
      <c r="L54" s="270">
        <v>1500</v>
      </c>
      <c r="M54" s="270">
        <f>+'WP-2, pg 2 - Labor Increase'!R54*0.04</f>
        <v>2560.5831000000003</v>
      </c>
      <c r="N54" s="270">
        <f t="shared" si="17"/>
        <v>13527.983100000001</v>
      </c>
      <c r="O54" s="270"/>
      <c r="P54" s="284"/>
      <c r="Q54" s="284"/>
      <c r="R54" s="282"/>
      <c r="S54" s="282"/>
      <c r="T54" s="270"/>
      <c r="U54" s="270"/>
      <c r="V54" s="270"/>
    </row>
    <row r="55" spans="1:22">
      <c r="A55" s="269">
        <f>+'WP-2, pg 2 - Labor Increase'!A55</f>
        <v>55</v>
      </c>
      <c r="B55" s="270">
        <v>5519.73</v>
      </c>
      <c r="C55" s="270">
        <v>886.7</v>
      </c>
      <c r="D55" s="270"/>
      <c r="E55" s="270">
        <f t="shared" si="13"/>
        <v>107.27</v>
      </c>
      <c r="F55" s="270"/>
      <c r="G55" s="270"/>
      <c r="H55" s="629">
        <f t="shared" si="14"/>
        <v>6513.7</v>
      </c>
      <c r="I55" s="270"/>
      <c r="J55" s="270"/>
      <c r="K55" s="270"/>
      <c r="L55" s="270"/>
      <c r="M55" s="270">
        <f>+'WP-2, pg 2 - Labor Increase'!R55*0.04</f>
        <v>0</v>
      </c>
      <c r="N55" s="270">
        <f t="shared" si="17"/>
        <v>0</v>
      </c>
      <c r="O55" s="270"/>
      <c r="P55" s="284"/>
      <c r="Q55" s="284"/>
      <c r="R55" s="282"/>
      <c r="S55" s="282"/>
      <c r="T55" s="270"/>
      <c r="U55" s="270"/>
      <c r="V55" s="270"/>
    </row>
    <row r="56" spans="1:22">
      <c r="A56" s="526" t="str">
        <f>+'WP-2, pg 2 - Labor Increase'!A56</f>
        <v>DRIVERS</v>
      </c>
      <c r="B56" s="530">
        <f>SUM(B29:B55)</f>
        <v>178571.30999999997</v>
      </c>
      <c r="C56" s="530">
        <f t="shared" ref="C56:G56" si="21">SUM(C29:C55)</f>
        <v>16347.750000000005</v>
      </c>
      <c r="D56" s="530">
        <f t="shared" si="21"/>
        <v>0</v>
      </c>
      <c r="E56" s="530">
        <f t="shared" si="21"/>
        <v>2789.02</v>
      </c>
      <c r="F56" s="530">
        <f t="shared" si="21"/>
        <v>61938.179999999993</v>
      </c>
      <c r="G56" s="530">
        <f t="shared" si="21"/>
        <v>30375</v>
      </c>
      <c r="H56" s="630">
        <f>SUM(B56:G56)</f>
        <v>290021.25999999995</v>
      </c>
      <c r="I56" s="279">
        <f>SUM(I29:I55)</f>
        <v>212166.72</v>
      </c>
      <c r="J56" s="279"/>
      <c r="K56" s="279">
        <f t="shared" ref="K56:M56" si="22">SUM(K29:K55)</f>
        <v>16329.480000000005</v>
      </c>
      <c r="L56" s="279">
        <f t="shared" si="22"/>
        <v>39000</v>
      </c>
      <c r="M56" s="279">
        <f t="shared" si="22"/>
        <v>71016.779254773937</v>
      </c>
      <c r="N56" s="279">
        <f>SUM(I56:M56)</f>
        <v>338512.97925477393</v>
      </c>
      <c r="O56" s="270"/>
      <c r="P56" s="284"/>
      <c r="Q56" s="270">
        <f>+H56</f>
        <v>290021.25999999995</v>
      </c>
      <c r="R56" s="533">
        <f>+'WP-11 - Non-Regulated'!$K$40*Q56</f>
        <v>160648.86120503154</v>
      </c>
      <c r="S56" s="286">
        <f>+N56</f>
        <v>338512.97925477393</v>
      </c>
      <c r="T56" s="533">
        <f>+'WP-11 - Non-Regulated'!$K$40*S56</f>
        <v>187509.44196436467</v>
      </c>
      <c r="U56" s="270"/>
      <c r="V56" s="270"/>
    </row>
    <row r="57" spans="1:22">
      <c r="A57" s="269"/>
      <c r="B57" s="270"/>
      <c r="C57" s="270"/>
      <c r="D57" s="270"/>
      <c r="E57" s="270"/>
      <c r="F57" s="270"/>
      <c r="G57" s="270"/>
      <c r="H57" s="270"/>
      <c r="I57" s="627"/>
      <c r="J57" s="270"/>
      <c r="K57" s="270"/>
      <c r="L57" s="270"/>
      <c r="M57" s="270"/>
      <c r="N57" s="270"/>
      <c r="O57" s="270"/>
      <c r="P57" s="284"/>
      <c r="Q57" s="284"/>
      <c r="R57" s="282"/>
      <c r="S57" s="282"/>
      <c r="T57" s="270"/>
      <c r="U57" s="270"/>
      <c r="V57" s="270"/>
    </row>
    <row r="58" spans="1:22">
      <c r="A58" s="269">
        <f>+'WP-2, pg 2 - Labor Increase'!A58</f>
        <v>60</v>
      </c>
      <c r="B58" s="270">
        <v>7426.83</v>
      </c>
      <c r="C58" s="270">
        <v>667.35</v>
      </c>
      <c r="D58" s="270"/>
      <c r="E58" s="270">
        <f t="shared" ref="E58:E62" si="23">+E$12</f>
        <v>107.27</v>
      </c>
      <c r="F58" s="270">
        <v>2624.66</v>
      </c>
      <c r="G58" s="270">
        <v>1500</v>
      </c>
      <c r="H58" s="629">
        <f t="shared" ref="H58:H62" si="24">SUM(B58:G58)</f>
        <v>12326.11</v>
      </c>
      <c r="I58" s="627">
        <f t="shared" ref="I58:I61" si="25">736.69*12</f>
        <v>8840.2800000000007</v>
      </c>
      <c r="J58" s="270"/>
      <c r="K58" s="628">
        <f t="shared" ref="K58:K61" si="26">52.26*12</f>
        <v>627.12</v>
      </c>
      <c r="L58" s="270">
        <v>1500</v>
      </c>
      <c r="M58" s="270">
        <f>+'WP-2, pg 2 - Labor Increase'!R58*0.04</f>
        <v>2779.8256800000004</v>
      </c>
      <c r="N58" s="270">
        <f t="shared" ref="N58:N62" si="27">SUM(I58:M58)</f>
        <v>13747.225680000001</v>
      </c>
      <c r="O58" s="270"/>
      <c r="P58" s="284"/>
      <c r="Q58" s="284"/>
      <c r="R58" s="282"/>
      <c r="S58" s="282"/>
      <c r="T58" s="270"/>
      <c r="U58" s="270"/>
      <c r="V58" s="270"/>
    </row>
    <row r="59" spans="1:22">
      <c r="A59" s="269">
        <f>+'WP-2, pg 2 - Labor Increase'!A59</f>
        <v>61</v>
      </c>
      <c r="B59" s="270">
        <v>6826.31</v>
      </c>
      <c r="C59" s="270">
        <v>392</v>
      </c>
      <c r="D59" s="270"/>
      <c r="E59" s="270">
        <f t="shared" si="23"/>
        <v>107.27</v>
      </c>
      <c r="F59" s="270"/>
      <c r="G59" s="270">
        <v>1375</v>
      </c>
      <c r="H59" s="629">
        <f t="shared" si="24"/>
        <v>8700.5800000000017</v>
      </c>
      <c r="I59" s="627">
        <f t="shared" si="25"/>
        <v>8840.2800000000007</v>
      </c>
      <c r="J59" s="270"/>
      <c r="K59" s="628">
        <f t="shared" si="26"/>
        <v>627.12</v>
      </c>
      <c r="L59" s="270">
        <v>1500</v>
      </c>
      <c r="M59" s="270">
        <f>+'WP-2, pg 2 - Labor Increase'!R59*0.04</f>
        <v>2368.8760000000002</v>
      </c>
      <c r="N59" s="270">
        <f t="shared" si="27"/>
        <v>13336.276000000002</v>
      </c>
      <c r="O59" s="270"/>
      <c r="P59" s="284"/>
      <c r="Q59" s="284"/>
      <c r="R59" s="282"/>
      <c r="S59" s="282"/>
      <c r="T59" s="270"/>
      <c r="U59" s="270"/>
      <c r="V59" s="270"/>
    </row>
    <row r="60" spans="1:22">
      <c r="A60" s="269">
        <f>+'WP-2, pg 2 - Labor Increase'!A60</f>
        <v>62</v>
      </c>
      <c r="B60" s="270">
        <v>6597.48</v>
      </c>
      <c r="C60" s="270">
        <v>667.35</v>
      </c>
      <c r="D60" s="270"/>
      <c r="E60" s="270">
        <f t="shared" si="23"/>
        <v>107.27</v>
      </c>
      <c r="F60" s="270">
        <v>1703.3</v>
      </c>
      <c r="G60" s="270">
        <v>1500</v>
      </c>
      <c r="H60" s="629">
        <f t="shared" si="24"/>
        <v>10575.4</v>
      </c>
      <c r="I60" s="627">
        <f t="shared" si="25"/>
        <v>8840.2800000000007</v>
      </c>
      <c r="J60" s="270"/>
      <c r="K60" s="628">
        <f t="shared" si="26"/>
        <v>627.12</v>
      </c>
      <c r="L60" s="270">
        <v>1500</v>
      </c>
      <c r="M60" s="270">
        <f>+'WP-2, pg 2 - Labor Increase'!R60*0.04</f>
        <v>1933.4823900000001</v>
      </c>
      <c r="N60" s="270">
        <f t="shared" si="27"/>
        <v>12900.882390000002</v>
      </c>
      <c r="O60" s="270"/>
      <c r="P60" s="284"/>
      <c r="Q60" s="284"/>
      <c r="R60" s="282"/>
      <c r="S60" s="282"/>
      <c r="T60" s="270"/>
      <c r="U60" s="270"/>
      <c r="V60" s="270"/>
    </row>
    <row r="61" spans="1:22">
      <c r="A61" s="269">
        <f>+'WP-2, pg 2 - Labor Increase'!A61</f>
        <v>63</v>
      </c>
      <c r="B61" s="270">
        <v>7426.83</v>
      </c>
      <c r="C61" s="270">
        <v>667.35</v>
      </c>
      <c r="D61" s="270"/>
      <c r="E61" s="270">
        <f t="shared" si="23"/>
        <v>107.27</v>
      </c>
      <c r="F61" s="270">
        <v>2167.17</v>
      </c>
      <c r="G61" s="270">
        <v>1500</v>
      </c>
      <c r="H61" s="629">
        <f t="shared" si="24"/>
        <v>11868.62</v>
      </c>
      <c r="I61" s="627">
        <f t="shared" si="25"/>
        <v>8840.2800000000007</v>
      </c>
      <c r="J61" s="270"/>
      <c r="K61" s="628">
        <f t="shared" si="26"/>
        <v>627.12</v>
      </c>
      <c r="L61" s="270">
        <v>1500</v>
      </c>
      <c r="M61" s="270">
        <f>+'WP-2, pg 2 - Labor Increase'!R60*0.04</f>
        <v>1933.4823900000001</v>
      </c>
      <c r="N61" s="270">
        <f t="shared" si="27"/>
        <v>12900.882390000002</v>
      </c>
      <c r="O61" s="270"/>
      <c r="P61" s="284"/>
      <c r="Q61" s="284"/>
      <c r="R61" s="282"/>
      <c r="S61" s="282"/>
      <c r="T61" s="270"/>
      <c r="U61" s="270"/>
      <c r="V61" s="270"/>
    </row>
    <row r="62" spans="1:22">
      <c r="A62" s="269">
        <f>+'WP-2, pg 2 - Labor Increase'!A62</f>
        <v>64</v>
      </c>
      <c r="B62" s="270">
        <v>1832.7</v>
      </c>
      <c r="C62" s="270">
        <v>166.45</v>
      </c>
      <c r="D62" s="270"/>
      <c r="E62" s="270">
        <f t="shared" si="23"/>
        <v>107.27</v>
      </c>
      <c r="F62" s="270"/>
      <c r="G62" s="270"/>
      <c r="H62" s="629">
        <f t="shared" si="24"/>
        <v>2106.42</v>
      </c>
      <c r="I62" s="627">
        <v>0</v>
      </c>
      <c r="J62" s="270"/>
      <c r="K62" s="628">
        <v>0</v>
      </c>
      <c r="L62" s="270"/>
      <c r="M62" s="270">
        <f>+'WP-2, pg 2 - Labor Increase'!R62*0.04</f>
        <v>0</v>
      </c>
      <c r="N62" s="270">
        <f t="shared" si="27"/>
        <v>0</v>
      </c>
      <c r="O62" s="270"/>
      <c r="P62" s="284"/>
      <c r="Q62" s="284"/>
      <c r="R62" s="282"/>
      <c r="S62" s="282"/>
      <c r="T62" s="270"/>
      <c r="U62" s="270"/>
      <c r="V62" s="270"/>
    </row>
    <row r="63" spans="1:22">
      <c r="A63" s="526" t="str">
        <f>+'WP-2, pg 2 - Labor Increase'!A63</f>
        <v>TRANSFER/RECYCLE</v>
      </c>
      <c r="B63" s="530">
        <f>SUM(B58:B62)</f>
        <v>30110.149999999998</v>
      </c>
      <c r="C63" s="530">
        <f t="shared" ref="C63:G63" si="28">SUM(C58:C62)</f>
        <v>2560.4999999999995</v>
      </c>
      <c r="D63" s="530">
        <f t="shared" si="28"/>
        <v>0</v>
      </c>
      <c r="E63" s="530">
        <f t="shared" si="28"/>
        <v>536.35</v>
      </c>
      <c r="F63" s="530">
        <f t="shared" si="28"/>
        <v>6495.13</v>
      </c>
      <c r="G63" s="530">
        <f t="shared" si="28"/>
        <v>5875</v>
      </c>
      <c r="H63" s="630">
        <f>SUM(B63:G63)</f>
        <v>45577.13</v>
      </c>
      <c r="I63" s="279">
        <f>SUM(I58:I62)</f>
        <v>35361.120000000003</v>
      </c>
      <c r="J63" s="279"/>
      <c r="K63" s="279">
        <f t="shared" ref="K63:L63" si="29">SUM(K58:K62)</f>
        <v>2508.48</v>
      </c>
      <c r="L63" s="279">
        <f t="shared" si="29"/>
        <v>6000</v>
      </c>
      <c r="M63" s="279">
        <f>SUM(M58:M62)</f>
        <v>9015.6664600000004</v>
      </c>
      <c r="N63" s="279">
        <f>SUM(I63:M63)</f>
        <v>52885.266460000006</v>
      </c>
      <c r="O63" s="270"/>
      <c r="P63" s="284"/>
      <c r="Q63" s="270">
        <f>+H63</f>
        <v>45577.13</v>
      </c>
      <c r="R63" s="282">
        <f>Q63*'WP-9 - Disposal Fees'!$S$20</f>
        <v>15183.145982042175</v>
      </c>
      <c r="S63" s="286">
        <f>+N63</f>
        <v>52885.266460000006</v>
      </c>
      <c r="T63" s="282">
        <f>S63*'WP-9 - Disposal Fees'!S20</f>
        <v>17617.711360091758</v>
      </c>
      <c r="U63" s="270"/>
    </row>
    <row r="64" spans="1:22">
      <c r="A64" s="269"/>
      <c r="B64" s="270"/>
      <c r="C64" s="270"/>
      <c r="D64" s="270"/>
      <c r="E64" s="270"/>
      <c r="F64" s="270"/>
      <c r="G64" s="270"/>
      <c r="H64" s="270"/>
      <c r="I64" s="627"/>
      <c r="J64" s="270"/>
      <c r="K64" s="628"/>
      <c r="L64" s="270"/>
      <c r="M64" s="270"/>
      <c r="N64" s="270"/>
      <c r="O64" s="270"/>
      <c r="P64" s="284"/>
      <c r="Q64" s="284"/>
      <c r="R64" s="282"/>
      <c r="S64" s="282"/>
      <c r="T64" s="270"/>
      <c r="U64" s="270"/>
      <c r="V64" s="270"/>
    </row>
    <row r="65" spans="1:22">
      <c r="A65" s="269">
        <f>+'WP-2, pg 2 - Labor Increase'!A65</f>
        <v>70</v>
      </c>
      <c r="B65" s="270">
        <v>1801.56</v>
      </c>
      <c r="C65" s="270">
        <f>-54.45-54.45</f>
        <v>-108.9</v>
      </c>
      <c r="D65" s="270"/>
      <c r="E65" s="270"/>
      <c r="F65" s="270"/>
      <c r="G65" s="270"/>
      <c r="H65" s="629">
        <f t="shared" ref="H65:H68" si="30">SUM(B65:G65)</f>
        <v>1692.6599999999999</v>
      </c>
      <c r="I65" s="627"/>
      <c r="J65" s="270"/>
      <c r="K65" s="628"/>
      <c r="L65" s="270">
        <v>0</v>
      </c>
      <c r="M65" s="270">
        <f>+'WP-2, pg 2 - Labor Increase'!R65*0.04</f>
        <v>0</v>
      </c>
      <c r="N65" s="270">
        <f t="shared" ref="N65:N68" si="31">SUM(I65:M65)</f>
        <v>0</v>
      </c>
      <c r="O65" s="270"/>
      <c r="P65" s="284"/>
      <c r="Q65" s="284"/>
      <c r="R65" s="282"/>
      <c r="S65" s="282"/>
      <c r="T65" s="270"/>
      <c r="U65" s="270"/>
      <c r="V65" s="270"/>
    </row>
    <row r="66" spans="1:22">
      <c r="A66" s="269">
        <f>+'WP-2, pg 2 - Labor Increase'!A66</f>
        <v>71</v>
      </c>
      <c r="B66" s="270">
        <v>7426.83</v>
      </c>
      <c r="C66" s="270">
        <v>667.35</v>
      </c>
      <c r="D66" s="270"/>
      <c r="E66" s="270">
        <f t="shared" ref="E66:E68" si="32">+E$12</f>
        <v>107.27</v>
      </c>
      <c r="F66" s="270">
        <v>4837.7</v>
      </c>
      <c r="G66" s="270">
        <v>1500</v>
      </c>
      <c r="H66" s="629">
        <f t="shared" si="30"/>
        <v>14539.150000000001</v>
      </c>
      <c r="I66" s="627">
        <f t="shared" ref="I66" si="33">736.69*12</f>
        <v>8840.2800000000007</v>
      </c>
      <c r="J66" s="270"/>
      <c r="K66" s="628">
        <f t="shared" ref="K66" si="34">52.26*12</f>
        <v>627.12</v>
      </c>
      <c r="L66" s="270">
        <v>1500</v>
      </c>
      <c r="M66" s="270">
        <f>+'WP-2, pg 2 - Labor Increase'!R66*0.04</f>
        <v>5126.9639372000011</v>
      </c>
      <c r="N66" s="270">
        <f t="shared" si="31"/>
        <v>16094.363937200003</v>
      </c>
      <c r="O66" s="270"/>
      <c r="P66" s="284"/>
      <c r="Q66" s="284"/>
      <c r="R66" s="282"/>
      <c r="S66" s="282"/>
      <c r="T66" s="270"/>
      <c r="U66" s="270"/>
      <c r="V66" s="270"/>
    </row>
    <row r="67" spans="1:22">
      <c r="A67" s="269">
        <f>+'WP-2, pg 2 - Labor Increase'!A67</f>
        <v>72</v>
      </c>
      <c r="B67" s="270">
        <v>7426.83</v>
      </c>
      <c r="C67" s="270">
        <v>667.35</v>
      </c>
      <c r="D67" s="270"/>
      <c r="E67" s="270">
        <f t="shared" si="32"/>
        <v>107.27</v>
      </c>
      <c r="F67" s="270">
        <v>4554.8900000000003</v>
      </c>
      <c r="G67" s="270"/>
      <c r="H67" s="629">
        <f t="shared" si="30"/>
        <v>12756.34</v>
      </c>
      <c r="I67" s="627"/>
      <c r="J67" s="270"/>
      <c r="K67" s="270"/>
      <c r="L67" s="270"/>
      <c r="M67" s="270">
        <f>+'WP-2, pg 2 - Labor Increase'!R67*0.04</f>
        <v>0</v>
      </c>
      <c r="N67" s="270">
        <f t="shared" si="31"/>
        <v>0</v>
      </c>
      <c r="O67" s="270"/>
      <c r="P67" s="284"/>
      <c r="Q67" s="284"/>
      <c r="R67" s="282"/>
      <c r="S67" s="282"/>
      <c r="T67" s="270"/>
      <c r="U67" s="270"/>
    </row>
    <row r="68" spans="1:22">
      <c r="A68" s="269">
        <f>+'WP-2, pg 2 - Labor Increase'!A68</f>
        <v>73</v>
      </c>
      <c r="B68" s="270">
        <v>1801.56</v>
      </c>
      <c r="C68" s="270">
        <v>108.9</v>
      </c>
      <c r="D68" s="270"/>
      <c r="E68" s="270">
        <f t="shared" si="32"/>
        <v>107.27</v>
      </c>
      <c r="F68" s="270">
        <v>819.46</v>
      </c>
      <c r="G68" s="270"/>
      <c r="H68" s="629">
        <f t="shared" si="30"/>
        <v>2837.19</v>
      </c>
      <c r="I68" s="627"/>
      <c r="J68" s="270"/>
      <c r="K68" s="270"/>
      <c r="L68" s="270"/>
      <c r="M68" s="270">
        <f>+'WP-2, pg 2 - Labor Increase'!R68*0.04</f>
        <v>0</v>
      </c>
      <c r="N68" s="270">
        <f t="shared" si="31"/>
        <v>0</v>
      </c>
      <c r="O68" s="270"/>
      <c r="P68" s="284"/>
      <c r="Q68" s="284"/>
      <c r="R68" s="282"/>
      <c r="S68" s="282"/>
      <c r="T68" s="270"/>
      <c r="U68" s="270"/>
    </row>
    <row r="69" spans="1:22">
      <c r="A69" s="526" t="str">
        <f>+'WP-2, pg 2 - Labor Increase'!A69</f>
        <v>MECHANICS</v>
      </c>
      <c r="B69" s="530">
        <f>SUM(B65:B68)</f>
        <v>18456.780000000002</v>
      </c>
      <c r="C69" s="530">
        <f t="shared" ref="C69:G69" si="35">SUM(C65:C68)</f>
        <v>1334.7000000000003</v>
      </c>
      <c r="D69" s="530">
        <f t="shared" si="35"/>
        <v>0</v>
      </c>
      <c r="E69" s="530">
        <f t="shared" si="35"/>
        <v>321.81</v>
      </c>
      <c r="F69" s="530">
        <f t="shared" si="35"/>
        <v>10212.049999999999</v>
      </c>
      <c r="G69" s="530">
        <f t="shared" si="35"/>
        <v>1500</v>
      </c>
      <c r="H69" s="630">
        <f>SUM(B69:G69)</f>
        <v>31825.340000000004</v>
      </c>
      <c r="I69" s="279">
        <f>SUM(I65:I68)</f>
        <v>8840.2800000000007</v>
      </c>
      <c r="J69" s="279"/>
      <c r="K69" s="279">
        <f t="shared" ref="K69:M69" si="36">SUM(K65:K68)</f>
        <v>627.12</v>
      </c>
      <c r="L69" s="279">
        <f t="shared" si="36"/>
        <v>1500</v>
      </c>
      <c r="M69" s="279">
        <f t="shared" si="36"/>
        <v>5126.9639372000011</v>
      </c>
      <c r="N69" s="279">
        <f>SUM(I69:M69)</f>
        <v>16094.363937200003</v>
      </c>
      <c r="O69" s="270"/>
      <c r="P69" s="284"/>
      <c r="Q69" s="270">
        <f>+H69</f>
        <v>31825.340000000004</v>
      </c>
      <c r="R69" s="282">
        <f>Q69*'WP-9 - Disposal Fees'!$S$20</f>
        <v>10602.001116527657</v>
      </c>
      <c r="S69" s="286">
        <f>+N69</f>
        <v>16094.363937200003</v>
      </c>
      <c r="T69" s="282">
        <f>S69*'WP-9 - Disposal Fees'!S20</f>
        <v>5361.5284057294248</v>
      </c>
      <c r="U69" s="270"/>
    </row>
    <row r="70" spans="1:22">
      <c r="A70" s="269"/>
      <c r="B70" s="270"/>
      <c r="C70" s="270"/>
      <c r="D70" s="270"/>
      <c r="E70" s="270"/>
      <c r="F70" s="270"/>
      <c r="G70" s="270"/>
      <c r="H70" s="270"/>
      <c r="I70" s="627"/>
      <c r="J70" s="270"/>
      <c r="K70" s="270"/>
      <c r="L70" s="270"/>
      <c r="M70" s="270"/>
      <c r="N70" s="270"/>
      <c r="O70" s="270"/>
      <c r="P70" s="284"/>
      <c r="Q70" s="270"/>
      <c r="R70" s="282"/>
      <c r="S70" s="286"/>
      <c r="T70" s="282"/>
      <c r="U70" s="270"/>
    </row>
    <row r="71" spans="1:22">
      <c r="A71" s="269">
        <f>+'WP-2, pg 2 - Labor Increase'!A71</f>
        <v>80</v>
      </c>
      <c r="B71" s="270">
        <v>0</v>
      </c>
      <c r="C71" s="270"/>
      <c r="D71" s="270"/>
      <c r="E71" s="270"/>
      <c r="F71" s="270"/>
      <c r="G71" s="270"/>
      <c r="H71" s="629">
        <f t="shared" ref="H71:H81" si="37">SUM(B71:G71)</f>
        <v>0</v>
      </c>
      <c r="I71" s="627"/>
      <c r="J71" s="270"/>
      <c r="K71" s="628"/>
      <c r="L71" s="270"/>
      <c r="M71" s="270">
        <f>+'WP-2, pg 2 - Labor Increase'!R71*0.04</f>
        <v>0</v>
      </c>
      <c r="N71" s="270">
        <f t="shared" ref="N71:N81" si="38">SUM(I71:M71)</f>
        <v>0</v>
      </c>
      <c r="O71" s="270"/>
      <c r="P71" s="284"/>
      <c r="Q71" s="284"/>
      <c r="R71" s="282"/>
      <c r="S71" s="282"/>
      <c r="T71" s="270"/>
      <c r="U71" s="270"/>
    </row>
    <row r="72" spans="1:22">
      <c r="A72" s="269">
        <f>+'WP-2, pg 2 - Labor Increase'!A72</f>
        <v>81</v>
      </c>
      <c r="B72" s="270">
        <v>653.29</v>
      </c>
      <c r="C72" s="270"/>
      <c r="D72" s="270"/>
      <c r="E72" s="270"/>
      <c r="F72" s="270"/>
      <c r="G72" s="270"/>
      <c r="H72" s="629">
        <f t="shared" si="37"/>
        <v>653.29</v>
      </c>
      <c r="I72" s="627"/>
      <c r="J72" s="270"/>
      <c r="K72" s="628"/>
      <c r="L72" s="270"/>
      <c r="M72" s="270">
        <f>+'WP-2, pg 2 - Labor Increase'!R72*0.04</f>
        <v>0</v>
      </c>
      <c r="N72" s="270">
        <f t="shared" si="38"/>
        <v>0</v>
      </c>
      <c r="O72" s="270"/>
      <c r="P72" s="284"/>
      <c r="Q72" s="284"/>
      <c r="R72" s="282"/>
      <c r="S72" s="282"/>
      <c r="T72" s="270"/>
      <c r="U72" s="270"/>
    </row>
    <row r="73" spans="1:22" s="537" customFormat="1">
      <c r="A73" s="269">
        <f>+'WP-2, pg 2 - Labor Increase'!A73</f>
        <v>82</v>
      </c>
      <c r="B73" s="270">
        <v>1306.58</v>
      </c>
      <c r="C73" s="270">
        <v>112</v>
      </c>
      <c r="D73" s="270"/>
      <c r="E73" s="270"/>
      <c r="F73" s="270"/>
      <c r="G73" s="270"/>
      <c r="H73" s="629">
        <f t="shared" si="37"/>
        <v>1418.58</v>
      </c>
      <c r="I73" s="627"/>
      <c r="J73" s="270"/>
      <c r="K73" s="628"/>
      <c r="L73" s="270"/>
      <c r="M73" s="270">
        <f>+'WP-2, pg 2 - Labor Increase'!R73*0.04</f>
        <v>0</v>
      </c>
      <c r="N73" s="270">
        <f t="shared" si="38"/>
        <v>0</v>
      </c>
      <c r="O73" s="270"/>
      <c r="P73" s="284"/>
      <c r="Q73" s="284"/>
      <c r="R73" s="282"/>
      <c r="S73" s="282"/>
      <c r="T73" s="270"/>
      <c r="U73" s="270"/>
    </row>
    <row r="74" spans="1:22">
      <c r="A74" s="269">
        <f>+'WP-2, pg 2 - Labor Increase'!A74</f>
        <v>83</v>
      </c>
      <c r="B74" s="270">
        <v>0</v>
      </c>
      <c r="C74" s="270"/>
      <c r="D74" s="270"/>
      <c r="E74" s="270"/>
      <c r="F74" s="270"/>
      <c r="G74" s="270"/>
      <c r="H74" s="629">
        <f t="shared" si="37"/>
        <v>0</v>
      </c>
      <c r="I74" s="627"/>
      <c r="J74" s="270"/>
      <c r="K74" s="628"/>
      <c r="L74" s="270"/>
      <c r="M74" s="270">
        <f>+'WP-2, pg 2 - Labor Increase'!R74*0.04</f>
        <v>0</v>
      </c>
      <c r="N74" s="270">
        <f t="shared" si="38"/>
        <v>0</v>
      </c>
      <c r="O74" s="270"/>
      <c r="P74" s="284"/>
      <c r="Q74" s="284"/>
      <c r="R74" s="282"/>
      <c r="S74" s="282"/>
      <c r="T74" s="270"/>
      <c r="U74" s="270"/>
    </row>
    <row r="75" spans="1:22">
      <c r="A75" s="269">
        <f>+'WP-2, pg 2 - Labor Increase'!A75</f>
        <v>84</v>
      </c>
      <c r="B75" s="270">
        <v>1959.87</v>
      </c>
      <c r="C75" s="270">
        <v>112</v>
      </c>
      <c r="D75" s="270"/>
      <c r="E75" s="270">
        <f t="shared" ref="E75:E77" si="39">+E$12</f>
        <v>107.27</v>
      </c>
      <c r="F75" s="270"/>
      <c r="G75" s="270">
        <v>375</v>
      </c>
      <c r="H75" s="629">
        <f t="shared" si="37"/>
        <v>2554.14</v>
      </c>
      <c r="I75" s="627">
        <f t="shared" ref="I75:I77" si="40">736.69*12</f>
        <v>8840.2800000000007</v>
      </c>
      <c r="J75" s="270"/>
      <c r="K75" s="628">
        <f t="shared" ref="K75" si="41">52.26*12</f>
        <v>627.12</v>
      </c>
      <c r="L75" s="270">
        <v>1500</v>
      </c>
      <c r="M75" s="270">
        <f>+'WP-2, pg 2 - Labor Increase'!R75*0.04</f>
        <v>2695.1815652173923</v>
      </c>
      <c r="N75" s="270">
        <f t="shared" si="38"/>
        <v>13662.581565217393</v>
      </c>
      <c r="O75" s="270"/>
      <c r="P75" s="284"/>
      <c r="Q75" s="284"/>
      <c r="R75" s="282"/>
      <c r="S75" s="282"/>
      <c r="T75" s="270"/>
      <c r="U75" s="270"/>
    </row>
    <row r="76" spans="1:22">
      <c r="A76" s="269">
        <f>+'WP-2, pg 2 - Labor Increase'!A76</f>
        <v>85</v>
      </c>
      <c r="B76" s="270">
        <v>3792.57</v>
      </c>
      <c r="C76" s="270">
        <v>336</v>
      </c>
      <c r="D76" s="270"/>
      <c r="E76" s="270">
        <f t="shared" si="39"/>
        <v>107.27</v>
      </c>
      <c r="F76" s="270"/>
      <c r="G76" s="270">
        <v>625</v>
      </c>
      <c r="H76" s="629">
        <f t="shared" si="37"/>
        <v>4860.84</v>
      </c>
      <c r="I76" s="627"/>
      <c r="J76" s="270"/>
      <c r="K76" s="628"/>
      <c r="L76" s="270"/>
      <c r="M76" s="270">
        <f>+'WP-2, pg 2 - Labor Increase'!R76*0.04</f>
        <v>2017.8108</v>
      </c>
      <c r="N76" s="270">
        <f t="shared" si="38"/>
        <v>2017.8108</v>
      </c>
      <c r="O76" s="270"/>
      <c r="P76" s="284"/>
      <c r="Q76" s="284"/>
      <c r="R76" s="282"/>
      <c r="S76" s="282"/>
      <c r="T76" s="270"/>
      <c r="U76" s="270"/>
    </row>
    <row r="77" spans="1:22">
      <c r="A77" s="269">
        <f>+'WP-2, pg 2 - Labor Increase'!A77</f>
        <v>86</v>
      </c>
      <c r="B77" s="270">
        <v>1959.87</v>
      </c>
      <c r="C77" s="270">
        <v>280</v>
      </c>
      <c r="D77" s="270"/>
      <c r="E77" s="270">
        <f t="shared" si="39"/>
        <v>107.27</v>
      </c>
      <c r="F77" s="270"/>
      <c r="G77" s="270">
        <v>375</v>
      </c>
      <c r="H77" s="629">
        <f t="shared" si="37"/>
        <v>2722.14</v>
      </c>
      <c r="I77" s="627">
        <f t="shared" si="40"/>
        <v>8840.2800000000007</v>
      </c>
      <c r="J77" s="270"/>
      <c r="K77" s="628">
        <f t="shared" ref="K77:K81" si="42">52.26*12</f>
        <v>627.12</v>
      </c>
      <c r="L77" s="270">
        <v>1500</v>
      </c>
      <c r="M77" s="270">
        <f>+'WP-2, pg 2 - Labor Increase'!R77*0.04</f>
        <v>1901.928347826087</v>
      </c>
      <c r="N77" s="270">
        <f t="shared" si="38"/>
        <v>12869.328347826089</v>
      </c>
      <c r="O77" s="270"/>
      <c r="P77" s="284"/>
      <c r="Q77" s="284"/>
      <c r="R77" s="282"/>
      <c r="S77" s="282"/>
      <c r="T77" s="270"/>
      <c r="U77" s="270"/>
    </row>
    <row r="78" spans="1:22">
      <c r="A78" s="269">
        <f>+'WP-2, pg 2 - Labor Increase'!A78</f>
        <v>87</v>
      </c>
      <c r="B78" s="270">
        <v>0</v>
      </c>
      <c r="C78" s="270"/>
      <c r="D78" s="270"/>
      <c r="E78" s="270"/>
      <c r="F78" s="270"/>
      <c r="G78" s="270"/>
      <c r="H78" s="629">
        <f t="shared" si="37"/>
        <v>0</v>
      </c>
      <c r="I78" s="627">
        <f>736.69*12</f>
        <v>8840.2800000000007</v>
      </c>
      <c r="J78" s="270"/>
      <c r="K78" s="628">
        <f t="shared" si="42"/>
        <v>627.12</v>
      </c>
      <c r="L78" s="270">
        <v>1500</v>
      </c>
      <c r="M78" s="270">
        <f>+'WP-2, pg 2 - Labor Increase'!R78*0.04</f>
        <v>3286.1716159999996</v>
      </c>
      <c r="N78" s="270">
        <f t="shared" si="38"/>
        <v>14253.571616000001</v>
      </c>
      <c r="O78" s="270"/>
      <c r="P78" s="284"/>
      <c r="Q78" s="284"/>
      <c r="R78" s="282"/>
      <c r="S78" s="282"/>
      <c r="T78" s="270"/>
      <c r="U78" s="270"/>
    </row>
    <row r="79" spans="1:22">
      <c r="A79" s="269">
        <f>+'WP-2, pg 2 - Labor Increase'!A79</f>
        <v>88</v>
      </c>
      <c r="B79" s="270">
        <v>0</v>
      </c>
      <c r="C79" s="270"/>
      <c r="D79" s="270"/>
      <c r="E79" s="270"/>
      <c r="F79" s="270"/>
      <c r="G79" s="270"/>
      <c r="H79" s="629">
        <f t="shared" si="37"/>
        <v>0</v>
      </c>
      <c r="I79" s="627">
        <f>736.69*12</f>
        <v>8840.2800000000007</v>
      </c>
      <c r="J79" s="270"/>
      <c r="K79" s="628"/>
      <c r="L79" s="270">
        <v>1500</v>
      </c>
      <c r="M79" s="270">
        <f>+'WP-2, pg 2 - Labor Increase'!R79*0.04</f>
        <v>2701.7536</v>
      </c>
      <c r="N79" s="270">
        <f t="shared" si="38"/>
        <v>13042.033600000001</v>
      </c>
      <c r="O79" s="270"/>
      <c r="P79" s="284"/>
      <c r="Q79" s="284"/>
      <c r="R79" s="282"/>
      <c r="S79" s="282"/>
      <c r="T79" s="270"/>
      <c r="U79" s="270"/>
    </row>
    <row r="80" spans="1:22">
      <c r="A80" s="269">
        <f>+'WP-2, pg 2 - Labor Increase'!A80</f>
        <v>89</v>
      </c>
      <c r="B80" s="270">
        <v>0</v>
      </c>
      <c r="C80" s="270"/>
      <c r="D80" s="270"/>
      <c r="E80" s="270"/>
      <c r="F80" s="270"/>
      <c r="G80" s="270"/>
      <c r="H80" s="629">
        <f t="shared" si="37"/>
        <v>0</v>
      </c>
      <c r="I80" s="627">
        <f>735.51*12</f>
        <v>8826.119999999999</v>
      </c>
      <c r="J80" s="270"/>
      <c r="K80" s="628">
        <f t="shared" si="42"/>
        <v>627.12</v>
      </c>
      <c r="L80" s="270">
        <v>1500</v>
      </c>
      <c r="M80" s="270">
        <f>+'WP-2, pg 2 - Labor Increase'!R80*0.04</f>
        <v>2943.9598000000001</v>
      </c>
      <c r="N80" s="270">
        <f t="shared" si="38"/>
        <v>13897.1998</v>
      </c>
      <c r="O80" s="270"/>
      <c r="P80" s="284"/>
      <c r="Q80" s="284"/>
      <c r="R80" s="282"/>
      <c r="S80" s="282"/>
      <c r="T80" s="270"/>
      <c r="U80" s="270"/>
    </row>
    <row r="81" spans="1:21">
      <c r="A81" s="269">
        <f>+'WP-2, pg 2 - Labor Increase'!A81</f>
        <v>90</v>
      </c>
      <c r="B81" s="613">
        <v>0</v>
      </c>
      <c r="C81" s="613"/>
      <c r="D81" s="613"/>
      <c r="E81" s="613"/>
      <c r="F81" s="613">
        <v>0</v>
      </c>
      <c r="G81" s="613"/>
      <c r="H81" s="629">
        <f t="shared" si="37"/>
        <v>0</v>
      </c>
      <c r="I81" s="627">
        <f t="shared" ref="I81" si="43">736.69*12</f>
        <v>8840.2800000000007</v>
      </c>
      <c r="J81" s="270"/>
      <c r="K81" s="628">
        <f t="shared" si="42"/>
        <v>627.12</v>
      </c>
      <c r="L81" s="270">
        <v>1500</v>
      </c>
      <c r="M81" s="270">
        <f>+'WP-2, pg 2 - Labor Increase'!R81*0.04</f>
        <v>2380.5308571428573</v>
      </c>
      <c r="N81" s="270">
        <f t="shared" si="38"/>
        <v>13347.930857142859</v>
      </c>
      <c r="O81" s="613"/>
      <c r="P81" s="622"/>
      <c r="Q81" s="622"/>
      <c r="R81" s="548"/>
      <c r="S81" s="548"/>
      <c r="T81" s="613"/>
      <c r="U81" s="613"/>
    </row>
    <row r="82" spans="1:21">
      <c r="A82" s="526" t="str">
        <f>+'WP-2, pg 2 - Labor Increase'!A82</f>
        <v>UNASSIGNED</v>
      </c>
      <c r="B82" s="530">
        <f t="shared" ref="B82:G82" si="44">SUM(B71:B81)</f>
        <v>9672.18</v>
      </c>
      <c r="C82" s="530">
        <f t="shared" si="44"/>
        <v>840</v>
      </c>
      <c r="D82" s="530">
        <f t="shared" si="44"/>
        <v>0</v>
      </c>
      <c r="E82" s="530">
        <f t="shared" si="44"/>
        <v>321.81</v>
      </c>
      <c r="F82" s="530">
        <f t="shared" si="44"/>
        <v>0</v>
      </c>
      <c r="G82" s="530">
        <f t="shared" si="44"/>
        <v>1375</v>
      </c>
      <c r="H82" s="630">
        <f>SUM(B82:G82)</f>
        <v>12208.99</v>
      </c>
      <c r="I82" s="279">
        <f>SUM(I71:I81)</f>
        <v>53027.520000000004</v>
      </c>
      <c r="J82" s="279"/>
      <c r="K82" s="279">
        <f>SUM(K71:K81)</f>
        <v>3135.6</v>
      </c>
      <c r="L82" s="279">
        <f>SUM(L71:L81)</f>
        <v>9000</v>
      </c>
      <c r="M82" s="279">
        <f>SUM(M71:M81)</f>
        <v>17927.336586186335</v>
      </c>
      <c r="N82" s="279">
        <f>SUM(I82:M82)</f>
        <v>83090.456586186338</v>
      </c>
      <c r="O82" s="270"/>
      <c r="P82" s="284"/>
      <c r="Q82" s="270">
        <f>+H82</f>
        <v>12208.99</v>
      </c>
      <c r="R82" s="533">
        <f>+'WP-11 - Non-Regulated'!$K$40*Q82</f>
        <v>6762.8157327625513</v>
      </c>
      <c r="S82" s="286">
        <f>+N82</f>
        <v>83090.456586186338</v>
      </c>
      <c r="T82" s="533">
        <f>+'WP-11 - Non-Regulated'!$K$40*S82</f>
        <v>46025.547325657957</v>
      </c>
      <c r="U82" s="270"/>
    </row>
    <row r="83" spans="1:21">
      <c r="A83" s="269"/>
      <c r="B83" s="270"/>
      <c r="C83" s="270"/>
      <c r="D83" s="270"/>
      <c r="E83" s="270"/>
      <c r="F83" s="270"/>
      <c r="G83" s="270"/>
      <c r="H83" s="629"/>
      <c r="I83" s="270"/>
      <c r="J83" s="270"/>
      <c r="K83" s="270"/>
      <c r="L83" s="270"/>
      <c r="M83" s="270"/>
      <c r="N83" s="270"/>
      <c r="O83" s="270"/>
      <c r="P83" s="284"/>
      <c r="Q83" s="284"/>
      <c r="R83" s="282"/>
      <c r="S83" s="282"/>
      <c r="T83" s="270"/>
      <c r="U83" s="270"/>
    </row>
    <row r="84" spans="1:21">
      <c r="A84" s="269" t="s">
        <v>1321</v>
      </c>
      <c r="B84" s="270"/>
      <c r="C84" s="270"/>
      <c r="D84" s="270"/>
      <c r="E84" s="270"/>
      <c r="F84" s="270"/>
      <c r="G84" s="270"/>
      <c r="H84" s="270"/>
      <c r="I84" s="627"/>
      <c r="J84" s="270"/>
      <c r="K84" s="270"/>
      <c r="L84" s="270"/>
      <c r="M84" s="270"/>
      <c r="N84" s="270"/>
      <c r="O84" s="270"/>
      <c r="P84" s="284"/>
      <c r="Q84" s="284"/>
      <c r="R84" s="282"/>
      <c r="S84" s="282"/>
      <c r="T84" s="270"/>
      <c r="U84" s="270"/>
    </row>
    <row r="85" spans="1:21">
      <c r="A85" s="269"/>
      <c r="B85" s="270"/>
      <c r="C85" s="270"/>
      <c r="D85" s="270"/>
      <c r="E85" s="270"/>
      <c r="F85" s="270"/>
      <c r="G85" s="270"/>
      <c r="H85" s="270"/>
      <c r="I85" s="627"/>
      <c r="J85" s="270"/>
      <c r="K85" s="270"/>
      <c r="L85" s="270"/>
      <c r="M85" s="270"/>
      <c r="N85" s="270"/>
      <c r="O85" s="270"/>
      <c r="P85" s="284"/>
      <c r="Q85" s="284"/>
      <c r="R85" s="282"/>
      <c r="S85" s="282"/>
      <c r="T85" s="270"/>
      <c r="U85" s="270"/>
    </row>
    <row r="86" spans="1:21">
      <c r="A86" s="269"/>
      <c r="B86" s="886">
        <f>+B82+B69+B56+B27+B23+B13+B63+B84</f>
        <v>312935.57999999996</v>
      </c>
      <c r="C86" s="884">
        <f t="shared" ref="C86:N86" si="45">+C82+C69+C56+C27+C23+C13+C63</f>
        <v>29443.500000000007</v>
      </c>
      <c r="D86" s="884">
        <f t="shared" si="45"/>
        <v>6120.8</v>
      </c>
      <c r="E86" s="530">
        <f t="shared" si="45"/>
        <v>4934.420000000001</v>
      </c>
      <c r="F86" s="530">
        <f t="shared" si="45"/>
        <v>113120.55</v>
      </c>
      <c r="G86" s="530">
        <f t="shared" si="45"/>
        <v>52375</v>
      </c>
      <c r="H86" s="630">
        <f t="shared" si="45"/>
        <v>518929.85</v>
      </c>
      <c r="I86" s="608">
        <f t="shared" si="45"/>
        <v>408224.64</v>
      </c>
      <c r="J86" s="608">
        <f t="shared" si="45"/>
        <v>6120.8</v>
      </c>
      <c r="K86" s="530">
        <f t="shared" si="45"/>
        <v>30343.320000000007</v>
      </c>
      <c r="L86" s="530">
        <f t="shared" si="45"/>
        <v>72000</v>
      </c>
      <c r="M86" s="530">
        <f t="shared" si="45"/>
        <v>142052.53142316031</v>
      </c>
      <c r="N86" s="530">
        <f t="shared" si="45"/>
        <v>658741.29142316023</v>
      </c>
      <c r="O86" s="270"/>
      <c r="P86" s="284"/>
      <c r="Q86" s="284"/>
      <c r="R86" s="282"/>
      <c r="S86" s="282"/>
      <c r="T86" s="270"/>
      <c r="U86" s="270"/>
    </row>
    <row r="87" spans="1:21">
      <c r="A87" s="269"/>
      <c r="B87" s="270"/>
      <c r="C87" s="270"/>
      <c r="D87" s="270"/>
      <c r="E87" s="270"/>
      <c r="F87" s="270"/>
      <c r="G87" s="270"/>
      <c r="H87" s="629"/>
      <c r="I87" s="270"/>
      <c r="J87" s="270"/>
      <c r="K87" s="270"/>
      <c r="L87" s="270"/>
      <c r="M87" s="270"/>
      <c r="N87" s="270"/>
      <c r="O87" s="270"/>
      <c r="P87" s="284"/>
      <c r="Q87" s="632"/>
      <c r="R87" s="633"/>
      <c r="S87" s="633"/>
      <c r="T87" s="278"/>
      <c r="U87" s="270"/>
    </row>
    <row r="88" spans="1:21" ht="16.5" thickBot="1">
      <c r="A88" s="269"/>
      <c r="B88" s="531">
        <f>+B86</f>
        <v>312935.57999999996</v>
      </c>
      <c r="C88" s="531">
        <f t="shared" ref="C88:H88" si="46">+C86</f>
        <v>29443.500000000007</v>
      </c>
      <c r="D88" s="531">
        <f t="shared" si="46"/>
        <v>6120.8</v>
      </c>
      <c r="E88" s="531">
        <f t="shared" si="46"/>
        <v>4934.420000000001</v>
      </c>
      <c r="F88" s="531">
        <f t="shared" si="46"/>
        <v>113120.55</v>
      </c>
      <c r="G88" s="531">
        <f t="shared" si="46"/>
        <v>52375</v>
      </c>
      <c r="H88" s="631">
        <f t="shared" si="46"/>
        <v>518929.85</v>
      </c>
      <c r="I88" s="531">
        <f>+I86</f>
        <v>408224.64</v>
      </c>
      <c r="J88" s="531">
        <f>+J86</f>
        <v>6120.8</v>
      </c>
      <c r="K88" s="531">
        <f t="shared" ref="K88:N88" si="47">+K86</f>
        <v>30343.320000000007</v>
      </c>
      <c r="L88" s="531">
        <f t="shared" si="47"/>
        <v>72000</v>
      </c>
      <c r="M88" s="531">
        <f t="shared" si="47"/>
        <v>142052.53142316031</v>
      </c>
      <c r="N88" s="531">
        <f t="shared" si="47"/>
        <v>658741.29142316023</v>
      </c>
      <c r="O88" s="270"/>
      <c r="P88" s="284"/>
      <c r="Q88" s="270">
        <f>SUM(Q12:Q87)</f>
        <v>518929.85</v>
      </c>
      <c r="R88" s="270">
        <f>SUM(R11:R86)</f>
        <v>289880.53324050806</v>
      </c>
      <c r="S88" s="270">
        <f>SUM(S11:S86)</f>
        <v>658741.29142316023</v>
      </c>
      <c r="T88" s="626">
        <f>SUM(T11:T86)</f>
        <v>374737.79085270409</v>
      </c>
      <c r="U88" s="270"/>
    </row>
    <row r="89" spans="1:21" ht="16.5" thickTop="1">
      <c r="A89" s="269"/>
      <c r="B89" s="270" t="s">
        <v>1316</v>
      </c>
      <c r="C89" s="271" t="s">
        <v>1291</v>
      </c>
      <c r="D89" s="271" t="s">
        <v>1296</v>
      </c>
      <c r="E89" s="271" t="s">
        <v>1296</v>
      </c>
      <c r="F89" s="271"/>
      <c r="G89" s="271"/>
      <c r="H89" s="271"/>
      <c r="I89" s="271"/>
      <c r="J89" s="271"/>
      <c r="K89" s="271"/>
      <c r="L89" s="271"/>
      <c r="M89" s="271"/>
      <c r="N89" s="271"/>
      <c r="O89" s="270"/>
      <c r="P89" s="284"/>
      <c r="Q89" s="284"/>
      <c r="R89" s="282"/>
      <c r="S89" s="282"/>
      <c r="T89" s="270"/>
      <c r="U89" s="270"/>
    </row>
    <row r="90" spans="1:21">
      <c r="A90" s="269"/>
      <c r="B90" s="887" t="s">
        <v>1317</v>
      </c>
      <c r="C90" s="656"/>
      <c r="D90" s="656"/>
      <c r="E90" s="656" t="s">
        <v>1297</v>
      </c>
      <c r="I90" s="1" t="s">
        <v>1296</v>
      </c>
      <c r="J90" s="1" t="s">
        <v>1296</v>
      </c>
      <c r="K90" s="1" t="s">
        <v>1296</v>
      </c>
      <c r="P90" s="539" t="s">
        <v>112</v>
      </c>
      <c r="Q90" s="1">
        <f>+'Sch 4 - 12 Months'!S29</f>
        <v>543296.9600000002</v>
      </c>
      <c r="R90" s="1">
        <f>+H86</f>
        <v>518929.85</v>
      </c>
    </row>
    <row r="91" spans="1:21">
      <c r="A91" s="1" t="s">
        <v>1315</v>
      </c>
      <c r="B91" s="387">
        <f>-289758.17+1438.23</f>
        <v>-288319.94</v>
      </c>
      <c r="C91" s="387">
        <v>-29932</v>
      </c>
      <c r="D91" s="537"/>
      <c r="E91" s="1">
        <v>-5283</v>
      </c>
      <c r="F91" s="1">
        <v>-125204</v>
      </c>
      <c r="G91" s="1">
        <f>80938.62-19222.6</f>
        <v>61716.02</v>
      </c>
      <c r="H91" s="1">
        <v>-8693.6299999999992</v>
      </c>
      <c r="P91" s="539" t="s">
        <v>767</v>
      </c>
      <c r="Q91" s="1">
        <f>+R97</f>
        <v>-6245.6600000000308</v>
      </c>
      <c r="R91" s="282">
        <v>6015</v>
      </c>
      <c r="S91" s="282" t="s">
        <v>1322</v>
      </c>
      <c r="T91" s="1">
        <f>+R91*'WP-2 - Labor Analysis'!AD79</f>
        <v>3527.9068706489052</v>
      </c>
      <c r="U91" s="1" t="s">
        <v>1329</v>
      </c>
    </row>
    <row r="92" spans="1:21">
      <c r="A92" s="1" t="s">
        <v>1318</v>
      </c>
      <c r="B92" s="282">
        <v>24993.41</v>
      </c>
      <c r="C92" s="1">
        <f>+C88+C91</f>
        <v>-488.49999999999272</v>
      </c>
      <c r="E92" s="1">
        <f>+E88+E91</f>
        <v>-348.57999999999902</v>
      </c>
      <c r="F92" s="1">
        <v>-6015</v>
      </c>
      <c r="G92" s="1">
        <f>+G88-G90-G91</f>
        <v>-9341.0199999999968</v>
      </c>
      <c r="H92" s="1" t="s">
        <v>1327</v>
      </c>
      <c r="N92" s="1" t="s">
        <v>1301</v>
      </c>
      <c r="P92" s="1"/>
      <c r="Q92" s="1"/>
      <c r="R92" s="282">
        <f>18657.14-2350.08-5644.04</f>
        <v>10663.02</v>
      </c>
      <c r="S92" s="282" t="s">
        <v>1323</v>
      </c>
      <c r="T92" s="1">
        <f>+R92*'WP-2 - Labor Analysis'!AD79</f>
        <v>6254.0551155223093</v>
      </c>
    </row>
    <row r="93" spans="1:21">
      <c r="B93" s="1" t="s">
        <v>1292</v>
      </c>
      <c r="C93" s="1" t="s">
        <v>1292</v>
      </c>
      <c r="F93" s="1">
        <f>+F9+-F88+F92</f>
        <v>-119135.55</v>
      </c>
      <c r="G93" s="1" t="s">
        <v>1298</v>
      </c>
      <c r="K93" s="282"/>
      <c r="N93" s="1" t="s">
        <v>850</v>
      </c>
      <c r="P93" s="1"/>
      <c r="Q93" s="1">
        <f>SUM(Q90:Q92)</f>
        <v>537051.30000000016</v>
      </c>
      <c r="R93" s="282">
        <v>1443.8</v>
      </c>
      <c r="S93" s="282" t="s">
        <v>1326</v>
      </c>
      <c r="T93" s="1">
        <f>+R93*'WP-2 - Labor Analysis'!AD79</f>
        <v>846.81495259233407</v>
      </c>
    </row>
    <row r="94" spans="1:21">
      <c r="A94" s="1" t="s">
        <v>1319</v>
      </c>
      <c r="B94" s="1">
        <f>+B88+B91-B92</f>
        <v>-377.77000000004409</v>
      </c>
      <c r="F94" s="1">
        <f>-F93+F91</f>
        <v>-6068.4499999999971</v>
      </c>
      <c r="H94" s="1">
        <v>18657.14</v>
      </c>
      <c r="K94" s="282"/>
      <c r="P94" s="539" t="s">
        <v>926</v>
      </c>
      <c r="Q94" s="282">
        <f>+Q88-R88+((+R91+R92+R93)*'WP-2 - Labor Analysis'!AD80)</f>
        <v>236542.35982072836</v>
      </c>
      <c r="R94" s="282">
        <f>SUM(R90:R93)</f>
        <v>537051.67000000004</v>
      </c>
      <c r="S94" s="282" t="s">
        <v>1324</v>
      </c>
      <c r="T94" s="282">
        <f>SUM(T88:T93)</f>
        <v>385366.56779146759</v>
      </c>
    </row>
    <row r="95" spans="1:21">
      <c r="B95" s="1">
        <f>+B88+B91</f>
        <v>24615.639999999956</v>
      </c>
      <c r="F95" s="1" t="s">
        <v>1292</v>
      </c>
      <c r="H95" s="1">
        <f>-2350.08-5644.04</f>
        <v>-7994.12</v>
      </c>
      <c r="K95" s="282"/>
      <c r="P95" s="1"/>
      <c r="Q95" s="1"/>
      <c r="S95" s="282"/>
      <c r="T95" s="1" t="s">
        <v>1330</v>
      </c>
    </row>
    <row r="96" spans="1:21">
      <c r="H96" s="1">
        <f>+H94+H95</f>
        <v>10663.02</v>
      </c>
      <c r="K96" s="14"/>
      <c r="P96" s="539" t="s">
        <v>22</v>
      </c>
      <c r="Q96" s="1">
        <f>+T88-R88</f>
        <v>84857.25761219603</v>
      </c>
      <c r="R96" s="282">
        <f>+Q90</f>
        <v>543296.9600000002</v>
      </c>
      <c r="S96" s="282"/>
      <c r="T96" s="1">
        <f>+Q88-R88</f>
        <v>229049.31675949192</v>
      </c>
    </row>
    <row r="97" spans="1:20">
      <c r="A97" s="1" t="s">
        <v>1315</v>
      </c>
      <c r="H97" s="1" t="s">
        <v>1325</v>
      </c>
      <c r="K97" s="14"/>
      <c r="P97" s="1"/>
      <c r="Q97" s="1"/>
      <c r="R97" s="282">
        <f>+B92+B94+C92+E92+F94+G92+H91+H104</f>
        <v>-6245.6600000000308</v>
      </c>
      <c r="S97" s="282"/>
      <c r="T97" s="1">
        <f>+R91+R92+R93</f>
        <v>18121.82</v>
      </c>
    </row>
    <row r="98" spans="1:20">
      <c r="K98" s="14"/>
      <c r="P98" s="1"/>
      <c r="Q98" s="1"/>
      <c r="R98" s="282">
        <f>+R96+R97</f>
        <v>537051.30000000016</v>
      </c>
      <c r="S98" s="282"/>
      <c r="T98" s="897">
        <f>+'WP-2 - Labor Analysis'!AD80</f>
        <v>0.41348181701597586</v>
      </c>
    </row>
    <row r="99" spans="1:20">
      <c r="K99" s="14"/>
      <c r="R99" s="282">
        <f>+R94-R98</f>
        <v>0.36999999987892807</v>
      </c>
      <c r="S99" s="282"/>
      <c r="T99" s="544">
        <f>+T97*T98</f>
        <v>7493.0430612364516</v>
      </c>
    </row>
    <row r="100" spans="1:20">
      <c r="K100" s="14"/>
      <c r="T100" s="1">
        <f>+T96+T99</f>
        <v>236542.35982072836</v>
      </c>
    </row>
    <row r="101" spans="1:20">
      <c r="H101" s="1" t="s">
        <v>1328</v>
      </c>
      <c r="K101" s="14"/>
    </row>
    <row r="102" spans="1:20">
      <c r="C102" s="537"/>
      <c r="D102" s="537"/>
      <c r="H102" s="1">
        <v>24079.74</v>
      </c>
    </row>
    <row r="103" spans="1:20">
      <c r="H103" s="1">
        <v>-18158.62</v>
      </c>
      <c r="Q103" s="282" t="s">
        <v>878</v>
      </c>
    </row>
    <row r="104" spans="1:20">
      <c r="H104" s="1">
        <f>-H102-H103</f>
        <v>-5921.1200000000026</v>
      </c>
      <c r="Q104" s="282">
        <f>+Q96</f>
        <v>84857.25761219603</v>
      </c>
    </row>
    <row r="105" spans="1:20">
      <c r="Q105" s="282">
        <f>+'WP-2, pg 2 - Labor Increase'!Y105</f>
        <v>309782.80026417348</v>
      </c>
    </row>
    <row r="106" spans="1:20">
      <c r="Q106" s="282">
        <f>+'WP-2, pg 2 - Labor Increase'!Y94</f>
        <v>73071.297272044292</v>
      </c>
    </row>
    <row r="107" spans="1:20">
      <c r="Q107" s="282">
        <f>SUM(Q104:Q106)</f>
        <v>467711.3551484138</v>
      </c>
    </row>
  </sheetData>
  <mergeCells count="7">
    <mergeCell ref="I7:N7"/>
    <mergeCell ref="I8:N8"/>
    <mergeCell ref="B8:H8"/>
    <mergeCell ref="A1:N1"/>
    <mergeCell ref="A3:N3"/>
    <mergeCell ref="A5:N5"/>
    <mergeCell ref="B7:H7"/>
  </mergeCells>
  <printOptions horizontalCentered="1"/>
  <pageMargins left="0.5" right="0.5" top="0.75" bottom="0.5" header="0" footer="0.25"/>
  <pageSetup scale="35" fitToWidth="0" fitToHeight="0" orientation="landscape"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1:Y51"/>
  <sheetViews>
    <sheetView zoomScaleNormal="100" workbookViewId="0">
      <selection sqref="A1:M1"/>
    </sheetView>
  </sheetViews>
  <sheetFormatPr defaultColWidth="10.88671875" defaultRowHeight="15.75"/>
  <cols>
    <col min="1" max="1" width="20.6640625" style="309" customWidth="1"/>
    <col min="2" max="2" width="8" style="309" customWidth="1"/>
    <col min="3" max="3" width="13.21875" style="309" customWidth="1"/>
    <col min="4" max="4" width="0.6640625" style="309" customWidth="1"/>
    <col min="5" max="5" width="13.21875" style="309" customWidth="1"/>
    <col min="6" max="6" width="0.6640625" style="309" customWidth="1"/>
    <col min="7" max="7" width="13.21875" style="309" customWidth="1"/>
    <col min="8" max="8" width="0.6640625" style="309" customWidth="1"/>
    <col min="9" max="9" width="13.21875" style="309" customWidth="1"/>
    <col min="10" max="10" width="0.6640625" style="309" customWidth="1"/>
    <col min="11" max="11" width="11.109375" style="309" customWidth="1"/>
    <col min="12" max="12" width="0.6640625" style="309" customWidth="1"/>
    <col min="13" max="13" width="10.88671875" style="309"/>
    <col min="14" max="14" width="0.6640625" style="309" customWidth="1"/>
    <col min="15" max="15" width="10.88671875" style="309"/>
    <col min="16" max="16" width="0.88671875" style="309" customWidth="1"/>
    <col min="17" max="17" width="7.88671875" style="309" customWidth="1"/>
    <col min="18" max="18" width="0.88671875" style="309" customWidth="1"/>
    <col min="19" max="19" width="9.6640625" style="309" customWidth="1"/>
    <col min="20" max="20" width="0.88671875" style="309" customWidth="1"/>
    <col min="21" max="16384" width="10.88671875" style="309"/>
  </cols>
  <sheetData>
    <row r="1" spans="1:23" ht="16.5" customHeight="1">
      <c r="A1" s="955" t="str">
        <f>+'WP-2, pg 3 - Benefits Analysis'!A1:N1</f>
        <v>Consolidated Disposal Services, Inc.</v>
      </c>
      <c r="B1" s="955"/>
      <c r="C1" s="955"/>
      <c r="D1" s="955"/>
      <c r="E1" s="955"/>
      <c r="F1" s="955"/>
      <c r="G1" s="955"/>
      <c r="H1" s="955"/>
      <c r="I1" s="955"/>
      <c r="J1" s="955"/>
      <c r="K1" s="955"/>
      <c r="L1" s="955"/>
      <c r="M1" s="955"/>
    </row>
    <row r="2" spans="1:23" ht="13.5" customHeight="1">
      <c r="A2" s="280"/>
      <c r="B2" s="280"/>
      <c r="I2" s="310"/>
    </row>
    <row r="3" spans="1:23" ht="16.5" customHeight="1">
      <c r="A3" s="955" t="s">
        <v>763</v>
      </c>
      <c r="B3" s="955"/>
      <c r="C3" s="955"/>
      <c r="D3" s="955"/>
      <c r="E3" s="955"/>
      <c r="F3" s="955"/>
      <c r="G3" s="955"/>
      <c r="H3" s="955"/>
      <c r="I3" s="955"/>
      <c r="J3" s="955"/>
      <c r="K3" s="955"/>
      <c r="L3" s="955"/>
      <c r="M3" s="955"/>
    </row>
    <row r="4" spans="1:23">
      <c r="A4" s="308"/>
      <c r="B4" s="308"/>
      <c r="C4" s="308"/>
      <c r="D4" s="308"/>
      <c r="E4" s="308"/>
      <c r="F4" s="308"/>
      <c r="G4" s="308"/>
      <c r="H4" s="308"/>
      <c r="I4" s="308"/>
    </row>
    <row r="5" spans="1:23">
      <c r="A5" s="955" t="str">
        <f>+'WP-1 - Summary Depr'!A5</f>
        <v>In Support of Tariff 8 effective April 1, 2025</v>
      </c>
      <c r="B5" s="955"/>
      <c r="C5" s="955"/>
      <c r="D5" s="955"/>
      <c r="E5" s="955"/>
      <c r="F5" s="955"/>
      <c r="G5" s="955"/>
      <c r="H5" s="955"/>
      <c r="I5" s="955"/>
      <c r="J5" s="955"/>
      <c r="K5" s="955"/>
      <c r="L5" s="955"/>
      <c r="M5" s="955"/>
    </row>
    <row r="6" spans="1:23">
      <c r="A6" s="280"/>
      <c r="B6" s="280"/>
      <c r="I6" s="310"/>
    </row>
    <row r="7" spans="1:23">
      <c r="A7" s="280"/>
      <c r="B7" s="280"/>
      <c r="I7" s="310"/>
    </row>
    <row r="8" spans="1:23" ht="15" customHeight="1">
      <c r="A8" s="280"/>
      <c r="B8" s="280"/>
      <c r="C8" s="311" t="s">
        <v>117</v>
      </c>
      <c r="D8" s="311"/>
      <c r="E8" s="311" t="s">
        <v>684</v>
      </c>
      <c r="F8" s="311"/>
      <c r="G8" s="311" t="s">
        <v>685</v>
      </c>
      <c r="H8" s="311"/>
      <c r="I8" s="312"/>
      <c r="J8" s="312"/>
      <c r="K8" s="312"/>
      <c r="L8" s="312"/>
      <c r="M8" s="311" t="s">
        <v>932</v>
      </c>
      <c r="N8" s="312"/>
      <c r="O8" s="312"/>
      <c r="P8" s="312"/>
      <c r="Q8" s="311" t="s">
        <v>937</v>
      </c>
      <c r="R8" s="311"/>
      <c r="S8" s="311"/>
      <c r="T8" s="312"/>
      <c r="U8" s="311"/>
      <c r="V8" s="311"/>
      <c r="W8" s="313"/>
    </row>
    <row r="9" spans="1:23" ht="15" customHeight="1">
      <c r="C9" s="311" t="s">
        <v>118</v>
      </c>
      <c r="D9" s="311"/>
      <c r="E9" s="311" t="s">
        <v>354</v>
      </c>
      <c r="F9" s="311"/>
      <c r="G9" s="311" t="s">
        <v>354</v>
      </c>
      <c r="H9" s="311"/>
      <c r="I9" s="311"/>
      <c r="J9" s="311"/>
      <c r="K9" s="311"/>
      <c r="L9" s="311"/>
      <c r="M9" s="311" t="s">
        <v>933</v>
      </c>
      <c r="N9" s="311"/>
      <c r="O9" s="311" t="s">
        <v>936</v>
      </c>
      <c r="P9" s="311"/>
      <c r="Q9" s="311" t="s">
        <v>938</v>
      </c>
      <c r="R9" s="311"/>
      <c r="S9" s="311"/>
      <c r="T9" s="311"/>
      <c r="U9" s="311"/>
      <c r="V9" s="313"/>
    </row>
    <row r="10" spans="1:23" ht="15" customHeight="1">
      <c r="C10" s="314" t="s">
        <v>72</v>
      </c>
      <c r="D10" s="311"/>
      <c r="E10" s="314" t="s">
        <v>355</v>
      </c>
      <c r="F10" s="311"/>
      <c r="G10" s="314" t="s">
        <v>355</v>
      </c>
      <c r="H10" s="311"/>
      <c r="I10" s="314" t="s">
        <v>686</v>
      </c>
      <c r="J10" s="311"/>
      <c r="K10" s="314" t="s">
        <v>931</v>
      </c>
      <c r="L10" s="311"/>
      <c r="M10" s="314" t="s">
        <v>934</v>
      </c>
      <c r="N10" s="311"/>
      <c r="O10" s="314" t="s">
        <v>935</v>
      </c>
      <c r="P10" s="311"/>
      <c r="Q10" s="314" t="s">
        <v>939</v>
      </c>
      <c r="R10" s="314"/>
      <c r="S10" s="314" t="s">
        <v>784</v>
      </c>
      <c r="T10" s="311"/>
      <c r="U10" s="315" t="s">
        <v>0</v>
      </c>
      <c r="V10" s="315"/>
    </row>
    <row r="11" spans="1:23" ht="15" customHeight="1">
      <c r="C11" s="314"/>
      <c r="D11" s="311"/>
      <c r="E11" s="311"/>
      <c r="F11" s="311"/>
      <c r="G11" s="311"/>
      <c r="H11" s="311"/>
      <c r="I11" s="314"/>
      <c r="J11" s="311"/>
      <c r="K11" s="311"/>
      <c r="L11" s="311"/>
      <c r="M11" s="311"/>
      <c r="N11" s="311"/>
      <c r="O11" s="311"/>
      <c r="P11" s="311"/>
      <c r="Q11" s="311"/>
      <c r="R11" s="311"/>
      <c r="S11" s="311"/>
      <c r="T11" s="311"/>
      <c r="U11" s="311"/>
      <c r="V11" s="315"/>
    </row>
    <row r="12" spans="1:23" ht="15" customHeight="1">
      <c r="A12" s="316" t="s">
        <v>63</v>
      </c>
      <c r="B12" s="316"/>
      <c r="C12" s="317">
        <v>0</v>
      </c>
      <c r="D12" s="318"/>
      <c r="E12" s="318"/>
      <c r="F12" s="318"/>
      <c r="G12" s="318">
        <v>410</v>
      </c>
      <c r="H12" s="318"/>
      <c r="I12" s="317"/>
      <c r="J12" s="318"/>
      <c r="K12" s="318"/>
      <c r="L12" s="318"/>
      <c r="M12" s="318"/>
      <c r="N12" s="318"/>
      <c r="O12" s="318"/>
      <c r="P12" s="318"/>
      <c r="Q12" s="318"/>
      <c r="R12" s="318"/>
      <c r="S12" s="318"/>
      <c r="T12" s="318"/>
      <c r="U12" s="317">
        <f>SUM(C12:S12)</f>
        <v>410</v>
      </c>
    </row>
    <row r="13" spans="1:23" ht="15" customHeight="1">
      <c r="A13" s="316" t="s">
        <v>64</v>
      </c>
      <c r="B13" s="316"/>
      <c r="C13" s="318">
        <v>1720</v>
      </c>
      <c r="D13" s="318"/>
      <c r="E13" s="318"/>
      <c r="F13" s="318"/>
      <c r="G13" s="318"/>
      <c r="H13" s="318"/>
      <c r="I13" s="318"/>
      <c r="J13" s="318"/>
      <c r="K13" s="318"/>
      <c r="L13" s="318"/>
      <c r="M13" s="318"/>
      <c r="N13" s="318"/>
      <c r="O13" s="318"/>
      <c r="P13" s="318"/>
      <c r="Q13" s="318"/>
      <c r="R13" s="318"/>
      <c r="S13" s="318"/>
      <c r="T13" s="318"/>
      <c r="U13" s="317">
        <f t="shared" ref="U13:U23" si="0">SUM(C13:S13)</f>
        <v>1720</v>
      </c>
    </row>
    <row r="14" spans="1:23" ht="15" customHeight="1">
      <c r="A14" s="316" t="s">
        <v>65</v>
      </c>
      <c r="B14" s="316"/>
      <c r="C14" s="318">
        <v>5900</v>
      </c>
      <c r="D14" s="318"/>
      <c r="E14" s="318"/>
      <c r="F14" s="318"/>
      <c r="G14" s="318"/>
      <c r="H14" s="318"/>
      <c r="I14" s="318">
        <v>725</v>
      </c>
      <c r="J14" s="318"/>
      <c r="K14" s="318"/>
      <c r="L14" s="318"/>
      <c r="M14" s="318"/>
      <c r="N14" s="318"/>
      <c r="O14" s="318">
        <v>2000</v>
      </c>
      <c r="P14" s="318"/>
      <c r="Q14" s="318"/>
      <c r="R14" s="318"/>
      <c r="S14" s="318"/>
      <c r="T14" s="318"/>
      <c r="U14" s="317">
        <f t="shared" si="0"/>
        <v>8625</v>
      </c>
    </row>
    <row r="15" spans="1:23" ht="15" customHeight="1">
      <c r="A15" s="316" t="s">
        <v>66</v>
      </c>
      <c r="B15" s="316"/>
      <c r="C15" s="318">
        <v>1720</v>
      </c>
      <c r="D15" s="318"/>
      <c r="E15" s="318"/>
      <c r="F15" s="318"/>
      <c r="G15" s="318"/>
      <c r="H15" s="318"/>
      <c r="I15" s="318"/>
      <c r="J15" s="318"/>
      <c r="K15" s="318"/>
      <c r="L15" s="318"/>
      <c r="M15" s="318"/>
      <c r="N15" s="318"/>
      <c r="O15" s="318"/>
      <c r="P15" s="318"/>
      <c r="Q15" s="318"/>
      <c r="R15" s="318"/>
      <c r="S15" s="318"/>
      <c r="T15" s="318"/>
      <c r="U15" s="317">
        <f t="shared" si="0"/>
        <v>1720</v>
      </c>
    </row>
    <row r="16" spans="1:23" ht="15" customHeight="1">
      <c r="A16" s="316" t="s">
        <v>67</v>
      </c>
      <c r="B16" s="316"/>
      <c r="C16" s="318">
        <v>1720</v>
      </c>
      <c r="D16" s="318"/>
      <c r="E16" s="318"/>
      <c r="F16" s="318"/>
      <c r="G16" s="318"/>
      <c r="H16" s="318"/>
      <c r="I16" s="318"/>
      <c r="J16" s="318"/>
      <c r="K16" s="318"/>
      <c r="L16" s="318"/>
      <c r="M16" s="318"/>
      <c r="N16" s="318"/>
      <c r="O16" s="318"/>
      <c r="P16" s="318"/>
      <c r="Q16" s="318"/>
      <c r="R16" s="318"/>
      <c r="S16" s="318"/>
      <c r="T16" s="318"/>
      <c r="U16" s="317">
        <f t="shared" si="0"/>
        <v>1720</v>
      </c>
    </row>
    <row r="17" spans="1:25" ht="15" customHeight="1">
      <c r="A17" s="316" t="s">
        <v>68</v>
      </c>
      <c r="B17" s="316"/>
      <c r="C17" s="318">
        <f>1720+1720+1720</f>
        <v>5160</v>
      </c>
      <c r="D17" s="318"/>
      <c r="E17" s="318"/>
      <c r="F17" s="318"/>
      <c r="G17" s="318"/>
      <c r="H17" s="318"/>
      <c r="I17" s="318"/>
      <c r="J17" s="318"/>
      <c r="K17" s="318"/>
      <c r="L17" s="318"/>
      <c r="M17" s="318"/>
      <c r="N17" s="318"/>
      <c r="O17" s="318"/>
      <c r="P17" s="318"/>
      <c r="Q17" s="318">
        <v>35</v>
      </c>
      <c r="R17" s="318"/>
      <c r="S17" s="318"/>
      <c r="T17" s="318"/>
      <c r="U17" s="317">
        <f t="shared" si="0"/>
        <v>5195</v>
      </c>
    </row>
    <row r="18" spans="1:25" ht="15" customHeight="1">
      <c r="A18" s="316" t="s">
        <v>69</v>
      </c>
      <c r="B18" s="316"/>
      <c r="C18" s="318">
        <v>0</v>
      </c>
      <c r="D18" s="318"/>
      <c r="E18" s="318">
        <v>500</v>
      </c>
      <c r="F18" s="318"/>
      <c r="G18" s="318"/>
      <c r="H18" s="318"/>
      <c r="I18" s="318"/>
      <c r="J18" s="318"/>
      <c r="K18" s="318"/>
      <c r="L18" s="318"/>
      <c r="M18" s="318"/>
      <c r="N18" s="318"/>
      <c r="O18" s="318"/>
      <c r="P18" s="318"/>
      <c r="Q18" s="318"/>
      <c r="R18" s="318"/>
      <c r="S18" s="318"/>
      <c r="T18" s="318"/>
      <c r="U18" s="317">
        <f t="shared" si="0"/>
        <v>500</v>
      </c>
    </row>
    <row r="19" spans="1:25" ht="15" customHeight="1">
      <c r="A19" s="316" t="s">
        <v>70</v>
      </c>
      <c r="B19" s="316"/>
      <c r="C19" s="318">
        <f>1720+350+1720</f>
        <v>3790</v>
      </c>
      <c r="D19" s="318"/>
      <c r="E19" s="318"/>
      <c r="F19" s="318"/>
      <c r="G19" s="318"/>
      <c r="H19" s="318"/>
      <c r="I19" s="318"/>
      <c r="J19" s="318"/>
      <c r="K19" s="318"/>
      <c r="L19" s="318"/>
      <c r="M19" s="318"/>
      <c r="N19" s="318"/>
      <c r="O19" s="318"/>
      <c r="P19" s="318"/>
      <c r="Q19" s="318"/>
      <c r="R19" s="318"/>
      <c r="S19" s="318"/>
      <c r="T19" s="318"/>
      <c r="U19" s="317">
        <f t="shared" si="0"/>
        <v>3790</v>
      </c>
    </row>
    <row r="20" spans="1:25" ht="15" customHeight="1">
      <c r="A20" s="316" t="s">
        <v>62</v>
      </c>
      <c r="B20" s="316"/>
      <c r="C20" s="318">
        <v>1720</v>
      </c>
      <c r="D20" s="318"/>
      <c r="E20" s="318"/>
      <c r="F20" s="318"/>
      <c r="G20" s="318"/>
      <c r="H20" s="318"/>
      <c r="I20" s="318"/>
      <c r="J20" s="318"/>
      <c r="K20" s="318"/>
      <c r="L20" s="318"/>
      <c r="M20" s="318"/>
      <c r="N20" s="318"/>
      <c r="O20" s="318"/>
      <c r="P20" s="318"/>
      <c r="Q20" s="318"/>
      <c r="R20" s="318"/>
      <c r="S20" s="318"/>
      <c r="T20" s="318"/>
      <c r="U20" s="317">
        <f t="shared" si="0"/>
        <v>1720</v>
      </c>
    </row>
    <row r="21" spans="1:25" ht="15" customHeight="1">
      <c r="A21" s="316" t="s">
        <v>61</v>
      </c>
      <c r="B21" s="316"/>
      <c r="C21" s="318">
        <v>0</v>
      </c>
      <c r="D21" s="318"/>
      <c r="E21" s="318"/>
      <c r="F21" s="318"/>
      <c r="G21" s="318"/>
      <c r="H21" s="318"/>
      <c r="I21" s="318"/>
      <c r="J21" s="318"/>
      <c r="K21" s="318"/>
      <c r="L21" s="318"/>
      <c r="M21" s="318">
        <v>201.37</v>
      </c>
      <c r="N21" s="318"/>
      <c r="O21" s="318"/>
      <c r="P21" s="318"/>
      <c r="Q21" s="318"/>
      <c r="R21" s="318"/>
      <c r="S21" s="318"/>
      <c r="T21" s="318"/>
      <c r="U21" s="317">
        <f t="shared" si="0"/>
        <v>201.37</v>
      </c>
    </row>
    <row r="22" spans="1:25" ht="15" customHeight="1">
      <c r="A22" s="316" t="s">
        <v>60</v>
      </c>
      <c r="B22" s="316"/>
      <c r="C22" s="318">
        <v>0</v>
      </c>
      <c r="D22" s="318"/>
      <c r="E22" s="318"/>
      <c r="F22" s="318"/>
      <c r="G22" s="318"/>
      <c r="H22" s="318"/>
      <c r="I22" s="318"/>
      <c r="J22" s="318"/>
      <c r="K22" s="318"/>
      <c r="L22" s="318"/>
      <c r="M22" s="318"/>
      <c r="N22" s="318"/>
      <c r="O22" s="318"/>
      <c r="P22" s="318"/>
      <c r="Q22" s="318"/>
      <c r="R22" s="318"/>
      <c r="S22" s="318"/>
      <c r="T22" s="318"/>
      <c r="U22" s="317">
        <f t="shared" si="0"/>
        <v>0</v>
      </c>
    </row>
    <row r="23" spans="1:25" ht="15" customHeight="1">
      <c r="A23" s="316" t="s">
        <v>59</v>
      </c>
      <c r="B23" s="316"/>
      <c r="C23" s="319">
        <f>1720+1720+1720</f>
        <v>5160</v>
      </c>
      <c r="D23" s="318"/>
      <c r="E23" s="320"/>
      <c r="F23" s="318"/>
      <c r="G23" s="320"/>
      <c r="H23" s="318"/>
      <c r="I23" s="319"/>
      <c r="J23" s="319"/>
      <c r="K23" s="319"/>
      <c r="L23" s="319"/>
      <c r="M23" s="319"/>
      <c r="N23" s="319"/>
      <c r="O23" s="319"/>
      <c r="P23" s="319"/>
      <c r="Q23" s="319"/>
      <c r="R23" s="319"/>
      <c r="S23" s="319"/>
      <c r="T23" s="318"/>
      <c r="U23" s="317">
        <f t="shared" si="0"/>
        <v>5160</v>
      </c>
    </row>
    <row r="24" spans="1:25" ht="15" customHeight="1">
      <c r="C24" s="318"/>
      <c r="D24" s="318"/>
      <c r="E24" s="318"/>
      <c r="F24" s="318"/>
      <c r="G24" s="318"/>
      <c r="H24" s="318"/>
      <c r="I24" s="318"/>
      <c r="J24" s="318"/>
      <c r="K24" s="318"/>
      <c r="L24" s="318"/>
      <c r="M24" s="318"/>
      <c r="N24" s="318"/>
      <c r="O24" s="318"/>
      <c r="P24" s="318"/>
      <c r="Q24" s="318"/>
      <c r="R24" s="318"/>
      <c r="S24" s="318"/>
      <c r="T24" s="318"/>
      <c r="U24" s="318"/>
    </row>
    <row r="25" spans="1:25" ht="15" customHeight="1" thickBot="1">
      <c r="C25" s="321">
        <f>SUM(C12:C23)</f>
        <v>26890</v>
      </c>
      <c r="D25" s="317"/>
      <c r="E25" s="321">
        <f>SUM(E12:E23)</f>
        <v>500</v>
      </c>
      <c r="F25" s="317"/>
      <c r="G25" s="321">
        <f>SUM(G12:G23)</f>
        <v>410</v>
      </c>
      <c r="H25" s="318"/>
      <c r="I25" s="321">
        <f>SUM(I12:I23)</f>
        <v>725</v>
      </c>
      <c r="J25" s="321">
        <f t="shared" ref="J25:R25" si="1">SUM(J12:J23)</f>
        <v>0</v>
      </c>
      <c r="K25" s="321">
        <f>SUM(K12:K23)</f>
        <v>0</v>
      </c>
      <c r="L25" s="321">
        <f t="shared" si="1"/>
        <v>0</v>
      </c>
      <c r="M25" s="321">
        <f>SUM(M12:M23)</f>
        <v>201.37</v>
      </c>
      <c r="N25" s="321">
        <f t="shared" si="1"/>
        <v>0</v>
      </c>
      <c r="O25" s="321">
        <f>SUM(O12:O23)</f>
        <v>2000</v>
      </c>
      <c r="P25" s="321">
        <f t="shared" si="1"/>
        <v>0</v>
      </c>
      <c r="Q25" s="321">
        <f>SUM(Q12:Q23)</f>
        <v>35</v>
      </c>
      <c r="R25" s="321">
        <f t="shared" si="1"/>
        <v>0</v>
      </c>
      <c r="S25" s="321">
        <f>SUM(S12:S23)</f>
        <v>0</v>
      </c>
      <c r="T25" s="318"/>
      <c r="U25" s="317">
        <f>SUM(U12:U23)</f>
        <v>30761.37</v>
      </c>
    </row>
    <row r="26" spans="1:25" ht="15" customHeight="1" thickTop="1">
      <c r="C26" s="318"/>
      <c r="D26" s="318"/>
      <c r="E26" s="318"/>
      <c r="F26" s="318"/>
      <c r="G26" s="318"/>
      <c r="H26" s="318"/>
      <c r="I26" s="322"/>
      <c r="J26" s="323"/>
      <c r="K26" s="323"/>
      <c r="L26" s="323"/>
      <c r="M26" s="323"/>
      <c r="N26" s="323"/>
      <c r="Q26" s="325"/>
      <c r="R26" s="325"/>
      <c r="V26" s="318"/>
    </row>
    <row r="27" spans="1:25" ht="15" customHeight="1">
      <c r="A27" s="309" t="s">
        <v>177</v>
      </c>
      <c r="C27" s="784">
        <v>6480</v>
      </c>
      <c r="D27" s="318"/>
      <c r="E27" s="318"/>
      <c r="F27" s="318"/>
      <c r="G27" s="318"/>
      <c r="H27" s="318"/>
      <c r="I27" s="318"/>
      <c r="J27" s="318"/>
      <c r="K27" s="785">
        <f>+K25*0.48</f>
        <v>0</v>
      </c>
      <c r="L27" s="318"/>
      <c r="M27" s="318"/>
      <c r="N27" s="318"/>
      <c r="S27" s="325"/>
      <c r="T27" s="325" t="s">
        <v>951</v>
      </c>
      <c r="U27" s="317">
        <f>-C27</f>
        <v>-6480</v>
      </c>
      <c r="W27" s="318"/>
    </row>
    <row r="28" spans="1:25" ht="15" customHeight="1">
      <c r="C28" s="322"/>
      <c r="D28" s="323"/>
      <c r="E28" s="323"/>
      <c r="F28" s="323"/>
      <c r="G28" s="323"/>
      <c r="H28" s="323"/>
      <c r="I28" s="322"/>
      <c r="K28" s="325"/>
      <c r="L28" s="325"/>
      <c r="M28" s="325"/>
      <c r="N28" s="325"/>
      <c r="Q28" s="327"/>
      <c r="R28" s="327"/>
      <c r="U28" s="318"/>
      <c r="Y28" s="310"/>
    </row>
    <row r="29" spans="1:25" ht="15" customHeight="1" thickBot="1">
      <c r="A29" s="970" t="s">
        <v>950</v>
      </c>
      <c r="B29" s="970"/>
      <c r="C29" s="970"/>
      <c r="D29" s="323"/>
      <c r="E29" s="323"/>
      <c r="F29" s="323"/>
      <c r="G29" s="323"/>
      <c r="H29" s="323"/>
      <c r="S29" s="327"/>
      <c r="T29" s="327" t="s">
        <v>940</v>
      </c>
      <c r="U29" s="324">
        <f>SUM(U25:U28)</f>
        <v>24281.37</v>
      </c>
    </row>
    <row r="30" spans="1:25" ht="15" customHeight="1" thickTop="1">
      <c r="A30" s="970"/>
      <c r="B30" s="970"/>
      <c r="C30" s="970"/>
      <c r="D30" s="318"/>
      <c r="E30" s="318"/>
      <c r="F30" s="318"/>
      <c r="G30" s="318"/>
      <c r="H30" s="318"/>
      <c r="I30" s="326"/>
      <c r="K30" s="327"/>
      <c r="L30" s="327"/>
      <c r="M30" s="327"/>
      <c r="N30" s="327"/>
      <c r="O30" s="327"/>
    </row>
    <row r="31" spans="1:25" ht="15" customHeight="1">
      <c r="A31" s="970"/>
      <c r="B31" s="970"/>
      <c r="C31" s="970"/>
      <c r="D31" s="318"/>
      <c r="E31" s="318"/>
      <c r="F31" s="318"/>
      <c r="G31" s="318"/>
      <c r="H31" s="318"/>
      <c r="I31" s="316"/>
      <c r="J31" s="318"/>
      <c r="K31" s="318"/>
      <c r="L31" s="318"/>
      <c r="M31" s="318"/>
      <c r="N31" s="318"/>
      <c r="O31" s="318"/>
      <c r="P31" s="318"/>
      <c r="Q31" s="318"/>
      <c r="R31" s="318"/>
      <c r="S31" s="318"/>
      <c r="T31" s="639" t="s">
        <v>941</v>
      </c>
      <c r="U31" s="318">
        <f>+C25-C27+O25</f>
        <v>22410</v>
      </c>
    </row>
    <row r="32" spans="1:25" ht="15" customHeight="1">
      <c r="A32" s="970"/>
      <c r="B32" s="970"/>
      <c r="C32" s="970"/>
      <c r="J32" s="328"/>
      <c r="K32" s="328"/>
      <c r="L32" s="328"/>
      <c r="M32" s="328"/>
      <c r="N32" s="328"/>
      <c r="O32" s="328"/>
      <c r="P32" s="328"/>
      <c r="Q32" s="328"/>
      <c r="R32" s="328"/>
      <c r="S32" s="328"/>
      <c r="T32" s="325" t="s">
        <v>953</v>
      </c>
      <c r="U32" s="318">
        <f>+E25+G25+S25</f>
        <v>910</v>
      </c>
    </row>
    <row r="33" spans="11:21" ht="15" customHeight="1">
      <c r="K33" s="318"/>
      <c r="T33" s="325" t="s">
        <v>942</v>
      </c>
      <c r="U33" s="318">
        <f>+I25+K25+M25+Q25-K27</f>
        <v>961.37</v>
      </c>
    </row>
    <row r="34" spans="11:21" ht="15" customHeight="1">
      <c r="T34" s="325" t="s">
        <v>952</v>
      </c>
      <c r="U34" s="318">
        <f>+K27</f>
        <v>0</v>
      </c>
    </row>
    <row r="35" spans="11:21" ht="15" customHeight="1" thickBot="1">
      <c r="T35" s="328" t="s">
        <v>943</v>
      </c>
      <c r="U35" s="324">
        <f>+U31+U32+U33+U34</f>
        <v>24281.37</v>
      </c>
    </row>
    <row r="36" spans="11:21" ht="15" customHeight="1" thickTop="1">
      <c r="T36" s="325"/>
      <c r="U36" s="325" t="s">
        <v>997</v>
      </c>
    </row>
    <row r="37" spans="11:21" ht="15" customHeight="1"/>
    <row r="38" spans="11:21" ht="15" customHeight="1"/>
    <row r="39" spans="11:21" ht="15" customHeight="1"/>
    <row r="40" spans="11:21" ht="15" customHeight="1"/>
    <row r="41" spans="11:21" ht="15" customHeight="1"/>
    <row r="42" spans="11:21" ht="15" customHeight="1"/>
    <row r="43" spans="11:21" ht="15" customHeight="1"/>
    <row r="44" spans="11:21" ht="15" customHeight="1"/>
    <row r="45" spans="11:21" ht="15" customHeight="1"/>
    <row r="46" spans="11:21" ht="15" customHeight="1"/>
    <row r="47" spans="11:21" ht="15" customHeight="1"/>
    <row r="48" spans="11:21" ht="15" customHeight="1"/>
    <row r="49" ht="15" customHeight="1"/>
    <row r="50" ht="15" customHeight="1"/>
    <row r="51" ht="15" customHeight="1"/>
  </sheetData>
  <mergeCells count="4">
    <mergeCell ref="A5:M5"/>
    <mergeCell ref="A3:M3"/>
    <mergeCell ref="A1:M1"/>
    <mergeCell ref="A29:C32"/>
  </mergeCells>
  <printOptions horizontalCentered="1"/>
  <pageMargins left="0.5" right="0.5" top="0.75" bottom="0.5" header="0" footer="0.25"/>
  <pageSetup scale="70" orientation="landscape" horizontalDpi="300" verticalDpi="300" r:id="rId1"/>
  <headerFooter alignWithMargins="0">
    <oddFooter xml:space="preserve">&amp;L&amp;9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H33"/>
  <sheetViews>
    <sheetView zoomScaleNormal="100" workbookViewId="0">
      <selection sqref="A1:H1"/>
    </sheetView>
  </sheetViews>
  <sheetFormatPr defaultColWidth="9.88671875" defaultRowHeight="15.75"/>
  <cols>
    <col min="1" max="1" width="5.44140625" style="309" customWidth="1"/>
    <col min="2" max="2" width="10.88671875" style="309" customWidth="1"/>
    <col min="3" max="3" width="9.88671875" style="309" customWidth="1"/>
    <col min="4" max="4" width="12.33203125" style="309" customWidth="1"/>
    <col min="5" max="5" width="12.109375" style="309" customWidth="1"/>
    <col min="6" max="6" width="12.33203125" style="309" customWidth="1"/>
    <col min="7" max="7" width="12.21875" style="309" customWidth="1"/>
    <col min="8" max="8" width="10.21875" style="309" customWidth="1"/>
    <col min="9" max="16384" width="9.88671875" style="309"/>
  </cols>
  <sheetData>
    <row r="1" spans="1:8" ht="16.5" customHeight="1">
      <c r="A1" s="955" t="str">
        <f>+'WP-4 - Dues &amp; Subs'!A1:I1</f>
        <v>Consolidated Disposal Services, Inc.</v>
      </c>
      <c r="B1" s="955"/>
      <c r="C1" s="955"/>
      <c r="D1" s="955"/>
      <c r="E1" s="955"/>
      <c r="F1" s="955"/>
      <c r="G1" s="955"/>
      <c r="H1" s="955"/>
    </row>
    <row r="2" spans="1:8" ht="13.5" customHeight="1">
      <c r="A2" s="276"/>
    </row>
    <row r="3" spans="1:8" ht="16.5" customHeight="1">
      <c r="A3" s="961" t="s">
        <v>212</v>
      </c>
      <c r="B3" s="961"/>
      <c r="C3" s="961"/>
      <c r="D3" s="961"/>
      <c r="E3" s="961"/>
      <c r="F3" s="961"/>
      <c r="G3" s="961"/>
      <c r="H3" s="961"/>
    </row>
    <row r="4" spans="1:8">
      <c r="A4" s="288"/>
      <c r="B4" s="288"/>
      <c r="C4" s="288"/>
      <c r="D4" s="288"/>
      <c r="E4" s="288"/>
      <c r="F4" s="288"/>
      <c r="G4" s="288"/>
      <c r="H4" s="288"/>
    </row>
    <row r="5" spans="1:8">
      <c r="A5" s="955" t="str">
        <f>+'WP-1 - Summary Depr'!A5</f>
        <v>In Support of Tariff 8 effective April 1, 2025</v>
      </c>
      <c r="B5" s="955"/>
      <c r="C5" s="955"/>
      <c r="D5" s="955"/>
      <c r="E5" s="955"/>
      <c r="F5" s="955"/>
      <c r="G5" s="955"/>
      <c r="H5" s="955"/>
    </row>
    <row r="7" spans="1:8" ht="15" customHeight="1">
      <c r="A7" s="329"/>
      <c r="B7" s="329"/>
      <c r="C7" s="329"/>
      <c r="D7" s="329"/>
      <c r="E7" s="329"/>
      <c r="F7" s="329"/>
      <c r="G7" s="311" t="s">
        <v>89</v>
      </c>
      <c r="H7" s="329"/>
    </row>
    <row r="8" spans="1:8" ht="15" customHeight="1">
      <c r="A8" s="329"/>
      <c r="B8" s="329"/>
      <c r="C8" s="329"/>
      <c r="D8" s="330">
        <v>44926</v>
      </c>
      <c r="E8" s="330">
        <v>45291</v>
      </c>
      <c r="F8" s="314" t="s">
        <v>124</v>
      </c>
      <c r="G8" s="314" t="s">
        <v>90</v>
      </c>
      <c r="H8" s="331" t="s">
        <v>37</v>
      </c>
    </row>
    <row r="9" spans="1:8" ht="15" customHeight="1">
      <c r="B9" s="309" t="s">
        <v>91</v>
      </c>
      <c r="D9" s="317">
        <v>3946675</v>
      </c>
      <c r="E9" s="317">
        <v>3357299</v>
      </c>
      <c r="F9" s="317">
        <f>(+D9+E9)/2</f>
        <v>3651987</v>
      </c>
      <c r="G9" s="317">
        <f>E9</f>
        <v>3357299</v>
      </c>
      <c r="H9" s="332">
        <f>G9/(+$G$9+$G$10)</f>
        <v>0.44685054985540207</v>
      </c>
    </row>
    <row r="10" spans="1:8" ht="15" customHeight="1">
      <c r="B10" s="309" t="s">
        <v>92</v>
      </c>
      <c r="D10" s="333"/>
      <c r="E10" s="333"/>
      <c r="F10" s="333"/>
      <c r="G10" s="333">
        <v>4155949</v>
      </c>
      <c r="H10" s="332">
        <f>G10/(+$G$9+$G$10)</f>
        <v>0.55314945014459793</v>
      </c>
    </row>
    <row r="11" spans="1:8" ht="15" customHeight="1">
      <c r="B11" s="309" t="s">
        <v>93</v>
      </c>
      <c r="D11" s="333" t="s">
        <v>94</v>
      </c>
      <c r="E11" s="333"/>
      <c r="F11" s="333">
        <f>+'Sch 4 - 12 Months'!O67</f>
        <v>187892.43999999997</v>
      </c>
      <c r="G11" s="333"/>
    </row>
    <row r="12" spans="1:8" ht="15" customHeight="1">
      <c r="B12" s="309" t="s">
        <v>95</v>
      </c>
      <c r="F12" s="332">
        <f>+F11/F9</f>
        <v>5.1449372629201573E-2</v>
      </c>
      <c r="G12" s="334"/>
    </row>
    <row r="13" spans="1:8" ht="15" customHeight="1">
      <c r="G13" s="335"/>
    </row>
    <row r="14" spans="1:8" ht="15" customHeight="1"/>
    <row r="15" spans="1:8" ht="15" customHeight="1">
      <c r="D15" s="317"/>
    </row>
    <row r="16" spans="1:8" ht="15" customHeight="1">
      <c r="B16" s="334"/>
      <c r="C16" s="334"/>
      <c r="D16" s="317"/>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sheetData>
  <mergeCells count="3">
    <mergeCell ref="A1:H1"/>
    <mergeCell ref="A3:H3"/>
    <mergeCell ref="A5:H5"/>
  </mergeCells>
  <printOptions horizontalCentered="1"/>
  <pageMargins left="0.5" right="0.5" top="0.75" bottom="0.5" header="0" footer="0.25"/>
  <pageSetup scale="9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dimension ref="A1:M328"/>
  <sheetViews>
    <sheetView zoomScaleNormal="100" workbookViewId="0">
      <selection sqref="A1:G1"/>
    </sheetView>
  </sheetViews>
  <sheetFormatPr defaultColWidth="8.88671875" defaultRowHeight="15"/>
  <cols>
    <col min="1" max="1" width="22" style="461" customWidth="1"/>
    <col min="2" max="2" width="10.88671875" style="461" bestFit="1" customWidth="1"/>
    <col min="3" max="3" width="1.88671875" style="461" customWidth="1"/>
    <col min="4" max="4" width="13" style="461" customWidth="1"/>
    <col min="5" max="6" width="8.88671875" style="461"/>
    <col min="7" max="7" width="15.88671875" style="461" customWidth="1"/>
    <col min="8" max="8" width="8.88671875" style="460"/>
    <col min="9" max="9" width="8.88671875" style="461"/>
    <col min="10" max="10" width="13.109375" style="461" bestFit="1" customWidth="1"/>
    <col min="11" max="16384" width="8.88671875" style="461"/>
  </cols>
  <sheetData>
    <row r="1" spans="1:13" ht="15.75">
      <c r="A1" s="955" t="str" cm="1">
        <f t="array" ref="A1:H1">+'WP-5 - Capital Structure'!A1:H1</f>
        <v>Consolidated Disposal Services, Inc.</v>
      </c>
      <c r="B1" s="955">
        <v>0</v>
      </c>
      <c r="C1" s="955">
        <v>0</v>
      </c>
      <c r="D1" s="955">
        <v>0</v>
      </c>
      <c r="E1" s="955">
        <v>0</v>
      </c>
      <c r="F1" s="955">
        <v>0</v>
      </c>
      <c r="G1" s="955">
        <v>0</v>
      </c>
      <c r="H1" s="460">
        <v>0</v>
      </c>
    </row>
    <row r="2" spans="1:13" ht="15.75">
      <c r="A2" s="462"/>
      <c r="B2" s="463"/>
      <c r="C2" s="463"/>
      <c r="D2" s="463"/>
      <c r="E2" s="463"/>
      <c r="F2" s="463"/>
      <c r="G2" s="463"/>
    </row>
    <row r="3" spans="1:13" ht="15.75">
      <c r="A3" s="972" t="s">
        <v>213</v>
      </c>
      <c r="B3" s="972"/>
      <c r="C3" s="972"/>
      <c r="D3" s="972"/>
      <c r="E3" s="972"/>
      <c r="F3" s="972"/>
      <c r="G3" s="972"/>
    </row>
    <row r="4" spans="1:13" ht="15.75">
      <c r="A4" s="464"/>
      <c r="B4" s="464"/>
      <c r="C4" s="464"/>
      <c r="D4" s="464"/>
      <c r="E4" s="464"/>
      <c r="F4" s="464"/>
      <c r="G4" s="464"/>
    </row>
    <row r="5" spans="1:13" ht="15.75">
      <c r="A5" s="955" t="str" cm="1">
        <f t="array" ref="A5:H5">+'WP-5 - Capital Structure'!A5:H5</f>
        <v>In Support of Tariff 8 effective April 1, 2025</v>
      </c>
      <c r="B5" s="955">
        <v>0</v>
      </c>
      <c r="C5" s="955">
        <v>0</v>
      </c>
      <c r="D5" s="955">
        <v>0</v>
      </c>
      <c r="E5" s="955">
        <v>0</v>
      </c>
      <c r="F5" s="955">
        <v>0</v>
      </c>
      <c r="G5" s="955">
        <v>0</v>
      </c>
      <c r="H5" s="460">
        <v>0</v>
      </c>
      <c r="J5" s="465"/>
    </row>
    <row r="6" spans="1:13">
      <c r="H6" s="465"/>
    </row>
    <row r="7" spans="1:13" ht="15.75">
      <c r="A7" s="466" t="s">
        <v>996</v>
      </c>
      <c r="B7" s="467"/>
      <c r="C7" s="467"/>
      <c r="D7" s="468"/>
      <c r="E7" s="468"/>
      <c r="F7" s="468"/>
      <c r="G7" s="468"/>
      <c r="H7" s="469"/>
      <c r="I7" s="440"/>
      <c r="J7" s="440"/>
      <c r="K7" s="440"/>
      <c r="L7" s="440"/>
    </row>
    <row r="8" spans="1:13" ht="12" customHeight="1">
      <c r="A8" s="470"/>
      <c r="B8" s="471"/>
      <c r="C8" s="472"/>
      <c r="D8" s="473"/>
      <c r="E8" s="473"/>
      <c r="F8" s="473"/>
      <c r="G8" s="473"/>
      <c r="H8" s="474"/>
      <c r="I8" s="475"/>
      <c r="K8" s="441"/>
      <c r="L8" s="441"/>
    </row>
    <row r="9" spans="1:13" ht="33.75" customHeight="1">
      <c r="A9" s="470" t="s">
        <v>755</v>
      </c>
      <c r="B9" s="471">
        <f>+'Sch 4 - 12 Months'!O44</f>
        <v>624299.44000000006</v>
      </c>
      <c r="C9" s="477"/>
      <c r="D9" s="973" t="s">
        <v>770</v>
      </c>
      <c r="E9" s="973"/>
      <c r="F9" s="973"/>
      <c r="G9" s="973"/>
      <c r="H9" s="474"/>
      <c r="I9" s="478"/>
      <c r="J9" s="441"/>
      <c r="K9" s="971"/>
      <c r="L9" s="971"/>
      <c r="M9" s="971"/>
    </row>
    <row r="10" spans="1:13" ht="15.75">
      <c r="A10" s="470"/>
      <c r="B10" s="471"/>
      <c r="C10" s="472"/>
      <c r="D10" s="506"/>
      <c r="E10" s="479"/>
      <c r="F10" s="479"/>
      <c r="G10" s="479"/>
      <c r="H10" s="474"/>
      <c r="I10" s="478"/>
      <c r="J10" s="441"/>
      <c r="K10" s="441"/>
      <c r="L10" s="441"/>
      <c r="M10" s="441"/>
    </row>
    <row r="11" spans="1:13" ht="15.75">
      <c r="A11" s="506"/>
      <c r="C11" s="472"/>
      <c r="D11" s="506"/>
      <c r="E11" s="473"/>
      <c r="F11" s="473"/>
      <c r="G11" s="473"/>
      <c r="H11" s="474"/>
      <c r="I11" s="441"/>
      <c r="J11" s="475"/>
      <c r="K11" s="475"/>
      <c r="L11" s="441"/>
    </row>
    <row r="12" spans="1:13" ht="15.75">
      <c r="A12" s="524"/>
      <c r="B12" s="471"/>
      <c r="C12" s="472"/>
      <c r="D12" s="524"/>
      <c r="E12" s="479"/>
      <c r="F12" s="479"/>
      <c r="G12" s="479"/>
      <c r="H12" s="474"/>
      <c r="I12" s="478"/>
      <c r="J12" s="441"/>
      <c r="K12" s="441"/>
      <c r="L12" s="441"/>
      <c r="M12" s="441"/>
    </row>
    <row r="13" spans="1:13" ht="15.75">
      <c r="A13" s="470"/>
      <c r="B13" s="471"/>
      <c r="C13" s="472"/>
      <c r="D13" s="479"/>
      <c r="E13" s="479"/>
      <c r="F13" s="479"/>
      <c r="G13" s="479"/>
      <c r="H13" s="474"/>
      <c r="I13" s="478"/>
      <c r="J13" s="441"/>
      <c r="K13" s="441"/>
      <c r="L13" s="441"/>
      <c r="M13" s="441"/>
    </row>
    <row r="14" spans="1:13" ht="15.75">
      <c r="A14" s="470"/>
      <c r="B14" s="471"/>
      <c r="C14" s="472"/>
      <c r="D14" s="473"/>
      <c r="E14" s="473"/>
      <c r="F14" s="473"/>
      <c r="G14" s="473"/>
      <c r="H14" s="474"/>
      <c r="I14" s="441"/>
      <c r="J14" s="475"/>
      <c r="K14" s="475"/>
      <c r="L14" s="441"/>
    </row>
    <row r="15" spans="1:13" ht="15.75">
      <c r="A15" s="470"/>
      <c r="B15" s="471"/>
      <c r="C15" s="472"/>
      <c r="D15" s="479"/>
      <c r="E15" s="479"/>
      <c r="F15" s="479"/>
      <c r="G15" s="479"/>
      <c r="I15" s="478"/>
      <c r="J15" s="441"/>
      <c r="K15" s="441"/>
      <c r="L15" s="441"/>
      <c r="M15" s="441"/>
    </row>
    <row r="16" spans="1:13" ht="15.75">
      <c r="A16" s="480"/>
      <c r="B16" s="472"/>
      <c r="C16" s="472"/>
      <c r="D16" s="481"/>
      <c r="E16" s="481"/>
      <c r="F16" s="481"/>
      <c r="G16" s="481"/>
      <c r="H16" s="474"/>
      <c r="J16" s="475"/>
      <c r="K16" s="475"/>
    </row>
    <row r="17" spans="1:13" ht="15.75">
      <c r="A17" s="470"/>
      <c r="B17" s="471"/>
      <c r="C17" s="472"/>
      <c r="D17" s="479"/>
      <c r="E17" s="479"/>
      <c r="F17" s="479"/>
      <c r="G17" s="479"/>
      <c r="I17" s="478"/>
      <c r="J17" s="441"/>
      <c r="K17" s="441"/>
      <c r="L17" s="441"/>
      <c r="M17" s="441"/>
    </row>
    <row r="18" spans="1:13" ht="15.75">
      <c r="A18" s="480"/>
      <c r="B18" s="472"/>
      <c r="C18" s="472"/>
      <c r="D18" s="481"/>
      <c r="E18" s="481"/>
      <c r="F18" s="481"/>
      <c r="G18" s="481"/>
      <c r="H18" s="474"/>
      <c r="J18" s="475"/>
      <c r="K18" s="475"/>
    </row>
    <row r="19" spans="1:13" ht="15.75">
      <c r="A19" s="468"/>
      <c r="B19" s="482"/>
      <c r="C19" s="482"/>
      <c r="D19" s="483"/>
      <c r="E19" s="483"/>
      <c r="F19" s="483"/>
      <c r="G19" s="483"/>
      <c r="H19" s="484"/>
      <c r="I19" s="478"/>
      <c r="J19" s="441"/>
      <c r="K19" s="441"/>
      <c r="L19" s="441"/>
    </row>
    <row r="20" spans="1:13" ht="15.75">
      <c r="A20" s="485"/>
      <c r="B20" s="485"/>
      <c r="C20" s="485"/>
      <c r="D20" s="485"/>
      <c r="E20" s="485"/>
      <c r="F20" s="485"/>
      <c r="G20" s="485"/>
      <c r="J20" s="475"/>
      <c r="K20" s="475"/>
      <c r="L20" s="441"/>
    </row>
    <row r="21" spans="1:13" ht="15.75">
      <c r="A21" s="462"/>
      <c r="B21" s="463"/>
      <c r="C21" s="463"/>
      <c r="D21" s="463"/>
      <c r="E21" s="463"/>
      <c r="F21" s="463"/>
      <c r="G21" s="463"/>
    </row>
    <row r="22" spans="1:13" ht="15.75">
      <c r="A22" s="485"/>
      <c r="B22" s="486"/>
      <c r="C22" s="486"/>
      <c r="D22" s="486"/>
      <c r="E22" s="486"/>
      <c r="F22" s="486"/>
      <c r="G22" s="486"/>
    </row>
    <row r="23" spans="1:13" ht="15.75">
      <c r="A23" s="464"/>
      <c r="B23" s="464"/>
      <c r="C23" s="464"/>
      <c r="D23" s="464"/>
      <c r="E23" s="464"/>
      <c r="F23" s="464"/>
      <c r="G23" s="464"/>
    </row>
    <row r="24" spans="1:13" ht="15.75">
      <c r="A24" s="485"/>
      <c r="B24" s="485"/>
      <c r="C24" s="485"/>
      <c r="D24" s="485"/>
      <c r="E24" s="485"/>
      <c r="F24" s="485"/>
      <c r="G24" s="485"/>
    </row>
    <row r="25" spans="1:13" ht="15.75">
      <c r="A25" s="468"/>
      <c r="B25" s="482"/>
      <c r="C25" s="482"/>
      <c r="D25" s="483"/>
      <c r="E25" s="483"/>
      <c r="F25" s="483"/>
      <c r="G25" s="483"/>
      <c r="H25" s="484"/>
      <c r="I25" s="478"/>
      <c r="J25" s="441"/>
      <c r="K25" s="441"/>
      <c r="L25" s="441"/>
    </row>
    <row r="26" spans="1:13" ht="15.75">
      <c r="A26" s="466"/>
      <c r="B26" s="467"/>
      <c r="C26" s="467"/>
      <c r="D26" s="468"/>
      <c r="E26" s="468"/>
      <c r="F26" s="468"/>
      <c r="G26" s="468"/>
      <c r="H26" s="469"/>
      <c r="I26" s="440"/>
      <c r="J26" s="440"/>
      <c r="K26" s="440"/>
      <c r="L26" s="440"/>
    </row>
    <row r="27" spans="1:13" ht="15.75">
      <c r="A27" s="466"/>
      <c r="B27" s="467"/>
      <c r="C27" s="467"/>
      <c r="D27" s="468"/>
      <c r="E27" s="468"/>
      <c r="F27" s="468"/>
      <c r="G27" s="468"/>
      <c r="H27" s="469"/>
      <c r="I27" s="440"/>
      <c r="J27" s="440"/>
      <c r="K27" s="440"/>
      <c r="L27" s="440"/>
    </row>
    <row r="28" spans="1:13" ht="15.75">
      <c r="A28" s="470"/>
      <c r="B28" s="471"/>
      <c r="C28" s="472"/>
      <c r="D28" s="479"/>
      <c r="E28" s="479"/>
      <c r="F28" s="479"/>
      <c r="G28" s="479"/>
      <c r="H28" s="474"/>
      <c r="I28" s="478"/>
      <c r="J28" s="441"/>
      <c r="K28" s="441"/>
      <c r="L28" s="441"/>
      <c r="M28" s="441"/>
    </row>
    <row r="29" spans="1:13" ht="15.75">
      <c r="A29" s="468"/>
      <c r="B29" s="483"/>
      <c r="C29" s="483"/>
      <c r="D29" s="483"/>
      <c r="E29" s="483"/>
      <c r="F29" s="483"/>
      <c r="G29" s="483"/>
      <c r="H29" s="474"/>
      <c r="I29" s="441"/>
      <c r="J29" s="475"/>
      <c r="K29" s="475"/>
      <c r="L29" s="441"/>
    </row>
    <row r="30" spans="1:13" ht="15.75">
      <c r="A30" s="466"/>
      <c r="B30" s="483"/>
      <c r="C30" s="483"/>
      <c r="D30" s="483"/>
      <c r="E30" s="483"/>
      <c r="F30" s="483"/>
      <c r="G30" s="483"/>
      <c r="H30" s="487"/>
      <c r="I30" s="478"/>
      <c r="J30" s="441"/>
      <c r="K30" s="441"/>
      <c r="L30" s="441"/>
    </row>
    <row r="31" spans="1:13" ht="15.75">
      <c r="A31" s="466"/>
      <c r="B31" s="488"/>
      <c r="C31" s="483"/>
      <c r="D31" s="483"/>
      <c r="E31" s="483"/>
      <c r="F31" s="483"/>
      <c r="G31" s="483"/>
      <c r="H31" s="474"/>
      <c r="I31" s="441"/>
      <c r="J31" s="475"/>
      <c r="K31" s="475"/>
      <c r="L31" s="441"/>
    </row>
    <row r="32" spans="1:13" ht="15.75">
      <c r="A32" s="466"/>
      <c r="B32" s="489"/>
      <c r="C32" s="489"/>
      <c r="D32" s="490"/>
      <c r="E32" s="490"/>
      <c r="F32" s="490"/>
      <c r="G32" s="489"/>
      <c r="H32" s="474"/>
      <c r="I32" s="441"/>
      <c r="J32" s="441"/>
      <c r="K32" s="441"/>
      <c r="L32" s="441"/>
    </row>
    <row r="33" spans="1:12" ht="15.75">
      <c r="A33" s="466"/>
      <c r="B33" s="489"/>
      <c r="C33" s="489"/>
      <c r="D33" s="490"/>
      <c r="E33" s="490"/>
      <c r="F33" s="490"/>
      <c r="G33" s="489"/>
      <c r="H33" s="474"/>
      <c r="I33" s="441"/>
      <c r="J33" s="441"/>
      <c r="K33" s="441"/>
      <c r="L33" s="441"/>
    </row>
    <row r="34" spans="1:12" ht="15.75">
      <c r="A34" s="470"/>
      <c r="B34" s="471"/>
      <c r="C34" s="490"/>
      <c r="D34" s="479"/>
      <c r="E34" s="479"/>
      <c r="F34" s="479"/>
      <c r="G34" s="479"/>
      <c r="H34" s="474"/>
      <c r="I34" s="441"/>
      <c r="J34" s="441"/>
      <c r="K34" s="441"/>
      <c r="L34" s="441"/>
    </row>
    <row r="35" spans="1:12" ht="15.75">
      <c r="A35" s="470"/>
      <c r="B35" s="471"/>
      <c r="C35" s="491"/>
      <c r="D35" s="492"/>
      <c r="E35" s="492"/>
      <c r="F35" s="492"/>
      <c r="G35" s="492"/>
      <c r="H35" s="474"/>
      <c r="I35" s="441"/>
      <c r="J35" s="441"/>
      <c r="K35" s="441"/>
      <c r="L35" s="441"/>
    </row>
    <row r="36" spans="1:12" ht="15.75">
      <c r="A36" s="470"/>
      <c r="B36" s="471"/>
      <c r="C36" s="490"/>
      <c r="D36" s="479"/>
      <c r="E36" s="479"/>
      <c r="F36" s="479"/>
      <c r="G36" s="479"/>
      <c r="H36" s="493"/>
      <c r="I36" s="489"/>
      <c r="J36" s="489"/>
      <c r="K36" s="441"/>
      <c r="L36" s="441"/>
    </row>
    <row r="37" spans="1:12" ht="15.75">
      <c r="A37" s="470"/>
      <c r="B37" s="471"/>
      <c r="C37" s="491"/>
      <c r="D37" s="494"/>
      <c r="E37" s="494"/>
      <c r="F37" s="494"/>
      <c r="G37" s="494"/>
      <c r="H37" s="493"/>
      <c r="I37" s="489"/>
      <c r="J37" s="489"/>
      <c r="K37" s="441"/>
      <c r="L37" s="441"/>
    </row>
    <row r="38" spans="1:12" ht="15.75">
      <c r="A38" s="470"/>
      <c r="B38" s="471"/>
      <c r="C38" s="467"/>
      <c r="D38" s="479"/>
      <c r="E38" s="479"/>
      <c r="F38" s="479"/>
      <c r="G38" s="479"/>
      <c r="H38" s="493"/>
      <c r="I38" s="489"/>
      <c r="J38" s="489"/>
      <c r="K38" s="441"/>
      <c r="L38" s="441"/>
    </row>
    <row r="39" spans="1:12" ht="15.75">
      <c r="A39" s="470"/>
      <c r="B39" s="471"/>
      <c r="C39" s="491"/>
      <c r="D39" s="492"/>
      <c r="E39" s="492"/>
      <c r="F39" s="492"/>
      <c r="G39" s="492"/>
      <c r="H39" s="493"/>
      <c r="I39" s="489"/>
      <c r="J39" s="489"/>
      <c r="K39" s="441"/>
      <c r="L39" s="441"/>
    </row>
    <row r="40" spans="1:12" ht="15.75">
      <c r="A40" s="470"/>
      <c r="B40" s="471"/>
      <c r="C40" s="491"/>
      <c r="D40" s="479"/>
      <c r="E40" s="479"/>
      <c r="F40" s="479"/>
      <c r="G40" s="479"/>
      <c r="H40" s="493"/>
      <c r="I40" s="489"/>
      <c r="J40" s="489"/>
      <c r="K40" s="441"/>
      <c r="L40" s="441"/>
    </row>
    <row r="41" spans="1:12" ht="15.75">
      <c r="A41" s="485"/>
      <c r="B41" s="485"/>
      <c r="C41" s="485"/>
      <c r="D41" s="485"/>
      <c r="E41" s="485"/>
      <c r="F41" s="485"/>
      <c r="G41" s="485"/>
      <c r="H41" s="493"/>
      <c r="I41" s="489"/>
      <c r="J41" s="489"/>
      <c r="K41" s="441"/>
      <c r="L41" s="441"/>
    </row>
    <row r="42" spans="1:12" ht="15.75">
      <c r="A42" s="462"/>
      <c r="B42" s="463"/>
      <c r="C42" s="463"/>
      <c r="D42" s="463"/>
      <c r="E42" s="463"/>
      <c r="F42" s="463"/>
      <c r="G42" s="463"/>
      <c r="H42" s="493"/>
      <c r="I42" s="489"/>
      <c r="J42" s="489"/>
      <c r="K42" s="441"/>
      <c r="L42" s="441"/>
    </row>
    <row r="43" spans="1:12" ht="15.75">
      <c r="A43" s="486"/>
      <c r="B43" s="486"/>
      <c r="C43" s="486"/>
      <c r="D43" s="486"/>
      <c r="E43" s="486"/>
      <c r="F43" s="486"/>
      <c r="G43" s="486"/>
      <c r="H43" s="495"/>
    </row>
    <row r="44" spans="1:12" ht="15.75">
      <c r="A44" s="464"/>
      <c r="B44" s="464"/>
      <c r="C44" s="464"/>
      <c r="D44" s="464"/>
      <c r="E44" s="464"/>
      <c r="F44" s="464"/>
      <c r="G44" s="464"/>
      <c r="H44" s="493"/>
      <c r="I44" s="489"/>
      <c r="J44" s="489"/>
      <c r="K44" s="441"/>
      <c r="L44" s="441"/>
    </row>
    <row r="45" spans="1:12" ht="15.75">
      <c r="A45" s="485"/>
      <c r="B45" s="485"/>
      <c r="C45" s="485"/>
      <c r="D45" s="485"/>
      <c r="E45" s="485"/>
      <c r="F45" s="485"/>
      <c r="G45" s="485"/>
      <c r="H45" s="495"/>
      <c r="I45" s="496"/>
      <c r="J45" s="496"/>
      <c r="K45" s="441"/>
      <c r="L45" s="441"/>
    </row>
    <row r="46" spans="1:12" ht="15.75">
      <c r="A46" s="470"/>
      <c r="B46" s="471"/>
      <c r="C46" s="490"/>
      <c r="D46" s="479"/>
      <c r="E46" s="479"/>
      <c r="F46" s="479"/>
      <c r="G46" s="479"/>
      <c r="H46" s="495"/>
      <c r="I46" s="496"/>
      <c r="J46" s="496"/>
      <c r="K46" s="441"/>
      <c r="L46" s="441"/>
    </row>
    <row r="47" spans="1:12" ht="15.75">
      <c r="A47" s="470"/>
      <c r="B47" s="471"/>
      <c r="C47" s="490"/>
      <c r="D47" s="496"/>
      <c r="E47" s="497"/>
      <c r="F47" s="498"/>
      <c r="G47" s="496"/>
    </row>
    <row r="48" spans="1:12" ht="15.75">
      <c r="A48" s="470"/>
      <c r="B48" s="471"/>
      <c r="C48" s="490"/>
      <c r="D48" s="479"/>
      <c r="E48" s="479"/>
      <c r="F48" s="479"/>
      <c r="G48" s="479"/>
    </row>
    <row r="49" spans="1:10" ht="15.75">
      <c r="A49" s="470"/>
      <c r="B49" s="471"/>
      <c r="C49" s="490"/>
      <c r="D49" s="496"/>
      <c r="E49" s="497"/>
      <c r="F49" s="498"/>
      <c r="G49" s="496"/>
    </row>
    <row r="50" spans="1:10" ht="15.75">
      <c r="A50" s="470"/>
      <c r="B50" s="471"/>
      <c r="C50" s="490"/>
      <c r="D50" s="479"/>
      <c r="E50" s="479"/>
      <c r="F50" s="479"/>
      <c r="G50" s="479"/>
    </row>
    <row r="51" spans="1:10" ht="15.75">
      <c r="A51" s="470"/>
      <c r="B51" s="471"/>
      <c r="C51" s="490"/>
      <c r="D51" s="496"/>
      <c r="E51" s="497"/>
      <c r="F51" s="498"/>
      <c r="G51" s="496"/>
    </row>
    <row r="52" spans="1:10" ht="15.75">
      <c r="A52" s="470"/>
      <c r="B52" s="471"/>
      <c r="C52" s="490"/>
      <c r="D52" s="479"/>
      <c r="E52" s="479"/>
      <c r="F52" s="479"/>
      <c r="G52" s="479"/>
    </row>
    <row r="53" spans="1:10">
      <c r="A53" s="470"/>
      <c r="B53" s="471"/>
      <c r="C53" s="467"/>
      <c r="D53" s="496"/>
      <c r="E53" s="496"/>
      <c r="F53" s="496"/>
      <c r="G53" s="496"/>
      <c r="H53" s="495"/>
      <c r="I53" s="496"/>
      <c r="J53" s="496"/>
    </row>
    <row r="54" spans="1:10" ht="15.75">
      <c r="A54" s="470"/>
      <c r="B54" s="471"/>
      <c r="C54" s="490"/>
      <c r="D54" s="479"/>
      <c r="E54" s="479"/>
      <c r="F54" s="479"/>
      <c r="G54" s="479"/>
      <c r="H54" s="495"/>
      <c r="I54" s="496"/>
      <c r="J54" s="496"/>
    </row>
    <row r="55" spans="1:10" ht="15.75">
      <c r="A55" s="470"/>
      <c r="B55" s="471"/>
      <c r="C55" s="490"/>
      <c r="D55" s="479"/>
      <c r="E55" s="479"/>
      <c r="F55" s="479"/>
      <c r="G55" s="479"/>
      <c r="H55" s="495"/>
      <c r="I55" s="496"/>
      <c r="J55" s="496"/>
    </row>
    <row r="56" spans="1:10" ht="15.75">
      <c r="A56" s="489"/>
      <c r="B56" s="482"/>
      <c r="C56" s="490"/>
      <c r="D56" s="499"/>
      <c r="E56" s="499"/>
      <c r="F56" s="499"/>
      <c r="G56" s="499"/>
      <c r="H56" s="495"/>
      <c r="I56" s="496"/>
      <c r="J56" s="496"/>
    </row>
    <row r="57" spans="1:10">
      <c r="A57" s="467"/>
      <c r="B57" s="467"/>
      <c r="C57" s="467"/>
      <c r="D57" s="467"/>
      <c r="E57" s="467"/>
      <c r="F57" s="467"/>
      <c r="G57" s="467"/>
      <c r="H57" s="495"/>
      <c r="I57" s="496"/>
      <c r="J57" s="496"/>
    </row>
    <row r="58" spans="1:10" ht="15.75">
      <c r="A58" s="489"/>
      <c r="B58" s="490"/>
      <c r="C58" s="490"/>
      <c r="D58" s="500"/>
      <c r="E58" s="500"/>
      <c r="F58" s="500"/>
      <c r="G58" s="500"/>
      <c r="H58" s="495"/>
      <c r="I58" s="496"/>
      <c r="J58" s="496"/>
    </row>
    <row r="59" spans="1:10" ht="15.75">
      <c r="A59" s="489"/>
      <c r="B59" s="490"/>
      <c r="C59" s="490"/>
      <c r="D59" s="500"/>
      <c r="E59" s="500"/>
      <c r="F59" s="500"/>
      <c r="G59" s="500"/>
      <c r="H59" s="495"/>
    </row>
    <row r="60" spans="1:10" ht="15.75">
      <c r="A60" s="470"/>
      <c r="B60" s="476"/>
      <c r="C60" s="490"/>
      <c r="D60" s="479"/>
      <c r="E60" s="479"/>
      <c r="F60" s="479"/>
      <c r="G60" s="479"/>
      <c r="H60" s="495"/>
    </row>
    <row r="61" spans="1:10" ht="15.75">
      <c r="A61" s="390"/>
      <c r="B61" s="390"/>
      <c r="C61" s="390"/>
      <c r="D61" s="390"/>
      <c r="E61" s="390"/>
      <c r="F61" s="390"/>
      <c r="G61" s="390"/>
      <c r="H61" s="501"/>
    </row>
    <row r="62" spans="1:10" ht="15.75">
      <c r="A62" s="390"/>
      <c r="B62" s="390"/>
      <c r="C62" s="390"/>
      <c r="D62" s="390"/>
      <c r="E62" s="390"/>
      <c r="F62" s="390"/>
      <c r="G62" s="390"/>
      <c r="H62" s="501"/>
    </row>
    <row r="63" spans="1:10" ht="15" customHeight="1">
      <c r="A63" s="502"/>
      <c r="B63" s="502"/>
      <c r="C63" s="502"/>
      <c r="D63" s="502"/>
      <c r="E63" s="502"/>
      <c r="F63" s="502"/>
      <c r="G63" s="502"/>
      <c r="H63" s="501"/>
    </row>
    <row r="64" spans="1:10" ht="15" customHeight="1">
      <c r="A64" s="502"/>
      <c r="B64" s="502"/>
      <c r="C64" s="502"/>
      <c r="D64" s="502"/>
      <c r="E64" s="502"/>
      <c r="F64" s="502"/>
      <c r="G64" s="502"/>
    </row>
    <row r="65" spans="1:8" ht="15.75">
      <c r="A65" s="390"/>
      <c r="B65" s="390"/>
      <c r="C65" s="390"/>
      <c r="D65" s="390"/>
      <c r="E65" s="390"/>
      <c r="F65" s="390"/>
      <c r="G65" s="390"/>
    </row>
    <row r="66" spans="1:8" ht="15.75">
      <c r="A66" s="390"/>
      <c r="B66" s="390"/>
      <c r="C66" s="390"/>
      <c r="D66" s="390"/>
      <c r="E66" s="390"/>
      <c r="F66" s="390"/>
      <c r="G66" s="390"/>
      <c r="H66" s="503"/>
    </row>
    <row r="67" spans="1:8" ht="15.75">
      <c r="A67" s="390"/>
      <c r="B67" s="390"/>
      <c r="C67" s="390"/>
      <c r="D67" s="390"/>
      <c r="E67" s="390"/>
      <c r="F67" s="390"/>
      <c r="G67" s="390"/>
      <c r="H67" s="501"/>
    </row>
    <row r="68" spans="1:8" ht="15.75">
      <c r="A68" s="390"/>
      <c r="B68" s="390"/>
      <c r="C68" s="390"/>
      <c r="D68" s="390"/>
      <c r="E68" s="390"/>
      <c r="F68" s="390"/>
      <c r="G68" s="390"/>
    </row>
    <row r="69" spans="1:8" ht="15.75">
      <c r="A69" s="390"/>
      <c r="B69" s="390"/>
      <c r="C69" s="390"/>
      <c r="D69" s="390"/>
      <c r="E69" s="390"/>
      <c r="F69" s="390"/>
      <c r="G69" s="390"/>
    </row>
    <row r="70" spans="1:8" ht="15.75">
      <c r="A70" s="390"/>
      <c r="B70" s="390"/>
      <c r="C70" s="390"/>
      <c r="D70" s="390"/>
      <c r="E70" s="390"/>
      <c r="F70" s="390"/>
      <c r="G70" s="390"/>
    </row>
    <row r="71" spans="1:8" ht="15.75">
      <c r="A71" s="390"/>
      <c r="B71" s="390"/>
      <c r="C71" s="390"/>
      <c r="D71" s="390"/>
      <c r="E71" s="390"/>
      <c r="F71" s="390"/>
      <c r="G71" s="390"/>
    </row>
    <row r="72" spans="1:8" ht="15.75">
      <c r="A72" s="390"/>
      <c r="B72" s="390"/>
      <c r="C72" s="390"/>
      <c r="D72" s="390"/>
      <c r="E72" s="390"/>
      <c r="F72" s="390"/>
      <c r="G72" s="390"/>
    </row>
    <row r="73" spans="1:8" ht="15.75">
      <c r="A73" s="390"/>
      <c r="B73" s="390"/>
      <c r="C73" s="390"/>
      <c r="D73" s="390"/>
      <c r="E73" s="390"/>
      <c r="F73" s="390"/>
      <c r="G73" s="390"/>
    </row>
    <row r="74" spans="1:8" ht="15.75">
      <c r="A74" s="390"/>
      <c r="B74" s="390"/>
      <c r="C74" s="390"/>
      <c r="D74" s="390"/>
      <c r="E74" s="390"/>
      <c r="F74" s="390"/>
      <c r="G74" s="390"/>
    </row>
    <row r="75" spans="1:8" ht="15.75">
      <c r="A75" s="390"/>
      <c r="B75" s="390"/>
      <c r="C75" s="390"/>
      <c r="D75" s="390"/>
      <c r="E75" s="390"/>
      <c r="F75" s="390"/>
      <c r="G75" s="390"/>
    </row>
    <row r="76" spans="1:8" ht="15.75">
      <c r="A76" s="390"/>
      <c r="B76" s="390"/>
      <c r="C76" s="390"/>
      <c r="D76" s="390"/>
      <c r="E76" s="390"/>
      <c r="F76" s="390"/>
      <c r="G76" s="390"/>
    </row>
    <row r="77" spans="1:8" ht="15.75">
      <c r="A77" s="390"/>
      <c r="B77" s="390"/>
      <c r="C77" s="390"/>
      <c r="D77" s="390"/>
      <c r="E77" s="390"/>
      <c r="F77" s="390"/>
      <c r="G77" s="390"/>
    </row>
    <row r="78" spans="1:8" ht="15.75">
      <c r="A78" s="390"/>
      <c r="B78" s="390"/>
      <c r="C78" s="390"/>
      <c r="D78" s="390"/>
      <c r="E78" s="390"/>
      <c r="F78" s="390"/>
      <c r="G78" s="390"/>
    </row>
    <row r="79" spans="1:8" ht="15.75">
      <c r="A79" s="390"/>
      <c r="B79" s="390"/>
      <c r="C79" s="390"/>
      <c r="D79" s="390"/>
      <c r="E79" s="390"/>
      <c r="F79" s="390"/>
      <c r="G79" s="390"/>
    </row>
    <row r="80" spans="1:8" ht="15.75">
      <c r="A80" s="390"/>
      <c r="B80" s="390"/>
      <c r="C80" s="390"/>
      <c r="D80" s="390"/>
      <c r="E80" s="390"/>
      <c r="F80" s="390"/>
      <c r="G80" s="390"/>
    </row>
    <row r="81" spans="1:7" ht="15.75">
      <c r="A81" s="390"/>
      <c r="B81" s="390"/>
      <c r="C81" s="390"/>
      <c r="D81" s="390"/>
      <c r="E81" s="390"/>
      <c r="F81" s="390"/>
      <c r="G81" s="390"/>
    </row>
    <row r="82" spans="1:7">
      <c r="A82" s="467"/>
      <c r="B82" s="467"/>
      <c r="C82" s="467"/>
      <c r="D82" s="467"/>
      <c r="E82" s="467"/>
      <c r="F82" s="467"/>
      <c r="G82" s="467"/>
    </row>
    <row r="83" spans="1:7">
      <c r="A83" s="467"/>
      <c r="B83" s="467"/>
      <c r="C83" s="467"/>
      <c r="D83" s="467"/>
      <c r="E83" s="467"/>
      <c r="F83" s="467"/>
      <c r="G83" s="467"/>
    </row>
    <row r="84" spans="1:7">
      <c r="A84" s="467"/>
      <c r="B84" s="467"/>
      <c r="C84" s="467"/>
      <c r="D84" s="467"/>
      <c r="E84" s="467"/>
      <c r="F84" s="467"/>
      <c r="G84" s="467"/>
    </row>
    <row r="85" spans="1:7">
      <c r="A85" s="467"/>
      <c r="B85" s="467"/>
      <c r="C85" s="467"/>
      <c r="D85" s="467"/>
      <c r="E85" s="467"/>
      <c r="F85" s="467"/>
      <c r="G85" s="467"/>
    </row>
    <row r="86" spans="1:7">
      <c r="A86" s="467"/>
      <c r="B86" s="467"/>
      <c r="C86" s="467"/>
      <c r="D86" s="467"/>
      <c r="E86" s="467"/>
      <c r="F86" s="467"/>
      <c r="G86" s="467"/>
    </row>
    <row r="87" spans="1:7">
      <c r="A87" s="467"/>
      <c r="B87" s="467"/>
      <c r="C87" s="467"/>
      <c r="D87" s="467"/>
      <c r="E87" s="467"/>
      <c r="F87" s="467"/>
      <c r="G87" s="467"/>
    </row>
    <row r="88" spans="1:7">
      <c r="A88" s="467"/>
      <c r="B88" s="467"/>
      <c r="C88" s="467"/>
      <c r="D88" s="467"/>
      <c r="E88" s="467"/>
      <c r="F88" s="467"/>
      <c r="G88" s="467"/>
    </row>
    <row r="89" spans="1:7">
      <c r="A89" s="467"/>
      <c r="B89" s="467"/>
      <c r="C89" s="467"/>
      <c r="D89" s="467"/>
      <c r="E89" s="467"/>
      <c r="F89" s="467"/>
      <c r="G89" s="467"/>
    </row>
    <row r="90" spans="1:7">
      <c r="A90" s="467"/>
      <c r="B90" s="467"/>
      <c r="C90" s="467"/>
      <c r="D90" s="467"/>
      <c r="E90" s="467"/>
      <c r="F90" s="467"/>
      <c r="G90" s="467"/>
    </row>
    <row r="91" spans="1:7">
      <c r="A91" s="467"/>
      <c r="B91" s="467"/>
      <c r="C91" s="467"/>
      <c r="D91" s="467"/>
      <c r="E91" s="467"/>
      <c r="F91" s="467"/>
      <c r="G91" s="467"/>
    </row>
    <row r="92" spans="1:7">
      <c r="A92" s="467"/>
      <c r="B92" s="467"/>
      <c r="C92" s="467"/>
      <c r="D92" s="467"/>
      <c r="E92" s="467"/>
      <c r="F92" s="467"/>
      <c r="G92" s="467"/>
    </row>
    <row r="93" spans="1:7">
      <c r="A93" s="467"/>
      <c r="B93" s="467"/>
      <c r="C93" s="467"/>
      <c r="D93" s="467"/>
      <c r="E93" s="467"/>
      <c r="F93" s="467"/>
      <c r="G93" s="467"/>
    </row>
    <row r="94" spans="1:7">
      <c r="A94" s="467"/>
      <c r="B94" s="467"/>
      <c r="C94" s="467"/>
      <c r="D94" s="467"/>
      <c r="E94" s="467"/>
      <c r="F94" s="467"/>
      <c r="G94" s="467"/>
    </row>
    <row r="95" spans="1:7">
      <c r="A95" s="467"/>
      <c r="B95" s="467"/>
      <c r="C95" s="467"/>
      <c r="D95" s="467"/>
      <c r="E95" s="467"/>
      <c r="F95" s="467"/>
      <c r="G95" s="467"/>
    </row>
    <row r="96" spans="1:7">
      <c r="A96" s="467"/>
      <c r="B96" s="467"/>
      <c r="C96" s="467"/>
      <c r="D96" s="467"/>
      <c r="E96" s="467"/>
      <c r="F96" s="467"/>
      <c r="G96" s="467"/>
    </row>
    <row r="97" spans="1:7">
      <c r="A97" s="467"/>
      <c r="B97" s="467"/>
      <c r="C97" s="467"/>
      <c r="D97" s="467"/>
      <c r="E97" s="467"/>
      <c r="F97" s="467"/>
      <c r="G97" s="467"/>
    </row>
    <row r="98" spans="1:7">
      <c r="A98" s="467"/>
      <c r="B98" s="467"/>
      <c r="C98" s="467"/>
      <c r="D98" s="467"/>
      <c r="E98" s="467"/>
      <c r="F98" s="467"/>
      <c r="G98" s="467"/>
    </row>
    <row r="99" spans="1:7">
      <c r="A99" s="467"/>
      <c r="B99" s="467"/>
      <c r="C99" s="467"/>
      <c r="D99" s="467"/>
      <c r="E99" s="467"/>
      <c r="F99" s="467"/>
      <c r="G99" s="467"/>
    </row>
    <row r="100" spans="1:7">
      <c r="A100" s="467"/>
      <c r="B100" s="467"/>
      <c r="C100" s="467"/>
      <c r="D100" s="467"/>
      <c r="E100" s="467"/>
      <c r="F100" s="467"/>
      <c r="G100" s="467"/>
    </row>
    <row r="101" spans="1:7">
      <c r="A101" s="467"/>
      <c r="B101" s="467"/>
      <c r="C101" s="467"/>
      <c r="D101" s="467"/>
      <c r="E101" s="467"/>
      <c r="F101" s="467"/>
      <c r="G101" s="467"/>
    </row>
    <row r="102" spans="1:7">
      <c r="A102" s="467"/>
      <c r="B102" s="467"/>
      <c r="C102" s="467"/>
      <c r="D102" s="467"/>
      <c r="E102" s="467"/>
      <c r="F102" s="467"/>
      <c r="G102" s="467"/>
    </row>
    <row r="103" spans="1:7">
      <c r="A103" s="467"/>
      <c r="B103" s="467"/>
      <c r="C103" s="467"/>
      <c r="D103" s="467"/>
      <c r="E103" s="467"/>
      <c r="F103" s="467"/>
      <c r="G103" s="467"/>
    </row>
    <row r="104" spans="1:7">
      <c r="A104" s="467"/>
      <c r="B104" s="467"/>
      <c r="C104" s="467"/>
      <c r="D104" s="467"/>
      <c r="E104" s="467"/>
      <c r="F104" s="467"/>
      <c r="G104" s="467"/>
    </row>
    <row r="105" spans="1:7">
      <c r="A105" s="467"/>
      <c r="B105" s="467"/>
      <c r="C105" s="467"/>
      <c r="D105" s="467"/>
      <c r="E105" s="467"/>
      <c r="F105" s="467"/>
      <c r="G105" s="467"/>
    </row>
    <row r="106" spans="1:7">
      <c r="A106" s="467"/>
      <c r="B106" s="467"/>
      <c r="C106" s="467"/>
      <c r="D106" s="467"/>
      <c r="E106" s="467"/>
      <c r="F106" s="467"/>
      <c r="G106" s="467"/>
    </row>
    <row r="107" spans="1:7">
      <c r="A107" s="467"/>
      <c r="B107" s="467"/>
      <c r="C107" s="467"/>
      <c r="D107" s="467"/>
      <c r="E107" s="467"/>
      <c r="F107" s="467"/>
      <c r="G107" s="467"/>
    </row>
    <row r="108" spans="1:7">
      <c r="A108" s="467"/>
      <c r="B108" s="467"/>
      <c r="C108" s="467"/>
      <c r="D108" s="467"/>
      <c r="E108" s="467"/>
      <c r="F108" s="467"/>
      <c r="G108" s="467"/>
    </row>
    <row r="109" spans="1:7">
      <c r="A109" s="467"/>
      <c r="B109" s="467"/>
      <c r="C109" s="467"/>
      <c r="D109" s="467"/>
      <c r="E109" s="467"/>
      <c r="F109" s="467"/>
      <c r="G109" s="467"/>
    </row>
    <row r="110" spans="1:7">
      <c r="A110" s="467"/>
      <c r="B110" s="467"/>
      <c r="C110" s="467"/>
      <c r="D110" s="467"/>
      <c r="E110" s="467"/>
      <c r="F110" s="467"/>
      <c r="G110" s="467"/>
    </row>
    <row r="111" spans="1:7">
      <c r="A111" s="467"/>
      <c r="B111" s="467"/>
      <c r="C111" s="467"/>
      <c r="D111" s="467"/>
      <c r="E111" s="467"/>
      <c r="F111" s="467"/>
      <c r="G111" s="467"/>
    </row>
    <row r="112" spans="1:7">
      <c r="A112" s="467"/>
      <c r="B112" s="467"/>
      <c r="C112" s="467"/>
      <c r="D112" s="467"/>
      <c r="E112" s="467"/>
      <c r="F112" s="467"/>
      <c r="G112" s="467"/>
    </row>
    <row r="113" spans="1:7">
      <c r="A113" s="467"/>
      <c r="B113" s="467"/>
      <c r="C113" s="467"/>
      <c r="D113" s="467"/>
      <c r="E113" s="467"/>
      <c r="F113" s="467"/>
      <c r="G113" s="467"/>
    </row>
    <row r="114" spans="1:7">
      <c r="A114" s="467"/>
      <c r="B114" s="467"/>
      <c r="C114" s="467"/>
      <c r="D114" s="467"/>
      <c r="E114" s="467"/>
      <c r="F114" s="467"/>
      <c r="G114" s="467"/>
    </row>
    <row r="115" spans="1:7">
      <c r="A115" s="467"/>
      <c r="B115" s="467"/>
      <c r="C115" s="467"/>
      <c r="D115" s="467"/>
      <c r="E115" s="467"/>
      <c r="F115" s="467"/>
      <c r="G115" s="467"/>
    </row>
    <row r="116" spans="1:7">
      <c r="A116" s="467"/>
      <c r="B116" s="467"/>
      <c r="C116" s="467"/>
      <c r="D116" s="467"/>
      <c r="E116" s="467"/>
      <c r="F116" s="467"/>
      <c r="G116" s="467"/>
    </row>
    <row r="117" spans="1:7">
      <c r="A117" s="467"/>
      <c r="B117" s="467"/>
      <c r="C117" s="467"/>
      <c r="D117" s="467"/>
      <c r="E117" s="467"/>
      <c r="F117" s="467"/>
      <c r="G117" s="467"/>
    </row>
    <row r="118" spans="1:7">
      <c r="A118" s="467"/>
      <c r="B118" s="467"/>
      <c r="C118" s="467"/>
      <c r="D118" s="467"/>
      <c r="E118" s="467"/>
      <c r="F118" s="467"/>
      <c r="G118" s="467"/>
    </row>
    <row r="119" spans="1:7">
      <c r="A119" s="467"/>
      <c r="B119" s="467"/>
      <c r="C119" s="467"/>
      <c r="D119" s="467"/>
      <c r="E119" s="467"/>
      <c r="F119" s="467"/>
      <c r="G119" s="467"/>
    </row>
    <row r="120" spans="1:7">
      <c r="A120" s="467"/>
      <c r="B120" s="467"/>
      <c r="C120" s="467"/>
      <c r="D120" s="467"/>
      <c r="E120" s="467"/>
      <c r="F120" s="467"/>
      <c r="G120" s="467"/>
    </row>
    <row r="121" spans="1:7">
      <c r="A121" s="467"/>
      <c r="B121" s="467"/>
      <c r="C121" s="467"/>
      <c r="D121" s="467"/>
      <c r="E121" s="467"/>
      <c r="F121" s="467"/>
      <c r="G121" s="467"/>
    </row>
    <row r="122" spans="1:7">
      <c r="A122" s="467"/>
      <c r="B122" s="467"/>
      <c r="C122" s="467"/>
      <c r="D122" s="467"/>
      <c r="E122" s="467"/>
      <c r="F122" s="467"/>
      <c r="G122" s="467"/>
    </row>
    <row r="123" spans="1:7">
      <c r="A123" s="467"/>
      <c r="B123" s="467"/>
      <c r="C123" s="467"/>
      <c r="D123" s="467"/>
      <c r="E123" s="467"/>
      <c r="F123" s="467"/>
      <c r="G123" s="467"/>
    </row>
    <row r="124" spans="1:7">
      <c r="A124" s="467"/>
      <c r="B124" s="467"/>
      <c r="C124" s="467"/>
      <c r="D124" s="467"/>
      <c r="E124" s="467"/>
      <c r="F124" s="467"/>
      <c r="G124" s="467"/>
    </row>
    <row r="125" spans="1:7">
      <c r="A125" s="467"/>
      <c r="B125" s="467"/>
      <c r="C125" s="467"/>
      <c r="D125" s="467"/>
      <c r="E125" s="467"/>
      <c r="F125" s="467"/>
      <c r="G125" s="467"/>
    </row>
    <row r="126" spans="1:7">
      <c r="A126" s="467"/>
      <c r="B126" s="467"/>
      <c r="C126" s="467"/>
      <c r="D126" s="467"/>
      <c r="E126" s="467"/>
      <c r="F126" s="467"/>
      <c r="G126" s="467"/>
    </row>
    <row r="127" spans="1:7">
      <c r="A127" s="467"/>
      <c r="B127" s="467"/>
      <c r="C127" s="467"/>
      <c r="D127" s="467"/>
      <c r="E127" s="467"/>
      <c r="F127" s="467"/>
      <c r="G127" s="467"/>
    </row>
    <row r="128" spans="1:7">
      <c r="A128" s="467"/>
      <c r="B128" s="467"/>
      <c r="C128" s="467"/>
      <c r="D128" s="467"/>
      <c r="E128" s="467"/>
      <c r="F128" s="467"/>
      <c r="G128" s="467"/>
    </row>
    <row r="129" spans="1:7">
      <c r="A129" s="467"/>
      <c r="B129" s="467"/>
      <c r="C129" s="467"/>
      <c r="D129" s="467"/>
      <c r="E129" s="467"/>
      <c r="F129" s="467"/>
      <c r="G129" s="467"/>
    </row>
    <row r="130" spans="1:7">
      <c r="A130" s="467"/>
      <c r="B130" s="467"/>
      <c r="C130" s="467"/>
      <c r="D130" s="467"/>
      <c r="E130" s="467"/>
      <c r="F130" s="467"/>
      <c r="G130" s="467"/>
    </row>
    <row r="131" spans="1:7">
      <c r="A131" s="467"/>
      <c r="B131" s="467"/>
      <c r="C131" s="467"/>
      <c r="D131" s="467"/>
      <c r="E131" s="467"/>
      <c r="F131" s="467"/>
      <c r="G131" s="467"/>
    </row>
    <row r="132" spans="1:7">
      <c r="A132" s="467"/>
      <c r="B132" s="467"/>
      <c r="C132" s="467"/>
      <c r="D132" s="467"/>
      <c r="E132" s="467"/>
      <c r="F132" s="467"/>
      <c r="G132" s="467"/>
    </row>
    <row r="133" spans="1:7">
      <c r="A133" s="467"/>
      <c r="B133" s="467"/>
      <c r="C133" s="467"/>
      <c r="D133" s="467"/>
      <c r="E133" s="467"/>
      <c r="F133" s="467"/>
      <c r="G133" s="467"/>
    </row>
    <row r="134" spans="1:7">
      <c r="A134" s="467"/>
      <c r="B134" s="467"/>
      <c r="C134" s="467"/>
      <c r="D134" s="467"/>
      <c r="E134" s="467"/>
      <c r="F134" s="467"/>
      <c r="G134" s="467"/>
    </row>
    <row r="135" spans="1:7">
      <c r="A135" s="467"/>
      <c r="B135" s="467"/>
      <c r="C135" s="467"/>
      <c r="D135" s="467"/>
      <c r="E135" s="467"/>
      <c r="F135" s="467"/>
      <c r="G135" s="467"/>
    </row>
    <row r="136" spans="1:7">
      <c r="A136" s="467"/>
      <c r="B136" s="467"/>
      <c r="C136" s="467"/>
      <c r="D136" s="467"/>
      <c r="E136" s="467"/>
      <c r="F136" s="467"/>
      <c r="G136" s="467"/>
    </row>
    <row r="137" spans="1:7">
      <c r="A137" s="467"/>
      <c r="B137" s="467"/>
      <c r="C137" s="467"/>
      <c r="D137" s="467"/>
      <c r="E137" s="467"/>
      <c r="F137" s="467"/>
      <c r="G137" s="467"/>
    </row>
    <row r="138" spans="1:7">
      <c r="A138" s="467"/>
      <c r="B138" s="467"/>
      <c r="C138" s="467"/>
      <c r="D138" s="467"/>
      <c r="E138" s="467"/>
      <c r="F138" s="467"/>
      <c r="G138" s="467"/>
    </row>
    <row r="139" spans="1:7">
      <c r="A139" s="467"/>
      <c r="B139" s="467"/>
      <c r="C139" s="467"/>
      <c r="D139" s="467"/>
      <c r="E139" s="467"/>
      <c r="F139" s="467"/>
      <c r="G139" s="467"/>
    </row>
    <row r="140" spans="1:7">
      <c r="A140" s="467"/>
      <c r="B140" s="467"/>
      <c r="C140" s="467"/>
      <c r="D140" s="467"/>
      <c r="E140" s="467"/>
      <c r="F140" s="467"/>
      <c r="G140" s="467"/>
    </row>
    <row r="141" spans="1:7">
      <c r="A141" s="467"/>
      <c r="B141" s="467"/>
      <c r="C141" s="467"/>
      <c r="D141" s="467"/>
      <c r="E141" s="467"/>
      <c r="F141" s="467"/>
      <c r="G141" s="467"/>
    </row>
    <row r="142" spans="1:7">
      <c r="A142" s="467"/>
      <c r="B142" s="467"/>
      <c r="C142" s="467"/>
      <c r="D142" s="467"/>
      <c r="E142" s="467"/>
      <c r="F142" s="467"/>
      <c r="G142" s="467"/>
    </row>
    <row r="143" spans="1:7">
      <c r="A143" s="467"/>
      <c r="B143" s="467"/>
      <c r="C143" s="467"/>
      <c r="D143" s="467"/>
      <c r="E143" s="467"/>
      <c r="F143" s="467"/>
      <c r="G143" s="467"/>
    </row>
    <row r="144" spans="1:7">
      <c r="A144" s="467"/>
      <c r="B144" s="467"/>
      <c r="C144" s="467"/>
      <c r="D144" s="467"/>
      <c r="E144" s="467"/>
      <c r="F144" s="467"/>
      <c r="G144" s="467"/>
    </row>
    <row r="145" spans="1:7">
      <c r="A145" s="467"/>
      <c r="B145" s="467"/>
      <c r="C145" s="467"/>
      <c r="D145" s="467"/>
      <c r="E145" s="467"/>
      <c r="F145" s="467"/>
      <c r="G145" s="467"/>
    </row>
    <row r="146" spans="1:7">
      <c r="A146" s="467"/>
      <c r="B146" s="467"/>
      <c r="C146" s="467"/>
      <c r="D146" s="467"/>
      <c r="E146" s="467"/>
      <c r="F146" s="467"/>
      <c r="G146" s="467"/>
    </row>
    <row r="147" spans="1:7">
      <c r="A147" s="467"/>
      <c r="B147" s="467"/>
      <c r="C147" s="467"/>
      <c r="D147" s="467"/>
      <c r="E147" s="467"/>
      <c r="F147" s="467"/>
      <c r="G147" s="467"/>
    </row>
    <row r="148" spans="1:7">
      <c r="A148" s="467"/>
      <c r="B148" s="467"/>
      <c r="C148" s="467"/>
      <c r="D148" s="467"/>
      <c r="E148" s="467"/>
      <c r="F148" s="467"/>
      <c r="G148" s="467"/>
    </row>
    <row r="149" spans="1:7">
      <c r="A149" s="467"/>
      <c r="B149" s="467"/>
      <c r="C149" s="467"/>
      <c r="D149" s="467"/>
      <c r="E149" s="467"/>
      <c r="F149" s="467"/>
      <c r="G149" s="467"/>
    </row>
    <row r="150" spans="1:7">
      <c r="A150" s="467"/>
      <c r="B150" s="467"/>
      <c r="C150" s="467"/>
      <c r="D150" s="467"/>
      <c r="E150" s="467"/>
      <c r="F150" s="467"/>
      <c r="G150" s="467"/>
    </row>
    <row r="151" spans="1:7">
      <c r="A151" s="467"/>
      <c r="B151" s="467"/>
      <c r="C151" s="467"/>
      <c r="D151" s="467"/>
      <c r="E151" s="467"/>
      <c r="F151" s="467"/>
      <c r="G151" s="467"/>
    </row>
    <row r="152" spans="1:7">
      <c r="A152" s="467"/>
      <c r="B152" s="467"/>
      <c r="C152" s="467"/>
      <c r="D152" s="467"/>
      <c r="E152" s="467"/>
      <c r="F152" s="467"/>
      <c r="G152" s="467"/>
    </row>
    <row r="153" spans="1:7">
      <c r="A153" s="467"/>
      <c r="B153" s="467"/>
      <c r="C153" s="467"/>
      <c r="D153" s="467"/>
      <c r="E153" s="467"/>
      <c r="F153" s="467"/>
      <c r="G153" s="467"/>
    </row>
    <row r="154" spans="1:7">
      <c r="A154" s="467"/>
      <c r="B154" s="467"/>
      <c r="C154" s="467"/>
      <c r="D154" s="467"/>
      <c r="E154" s="467"/>
      <c r="F154" s="467"/>
      <c r="G154" s="467"/>
    </row>
    <row r="155" spans="1:7">
      <c r="A155" s="467"/>
      <c r="B155" s="467"/>
      <c r="C155" s="467"/>
      <c r="D155" s="467"/>
      <c r="E155" s="467"/>
      <c r="F155" s="467"/>
      <c r="G155" s="467"/>
    </row>
    <row r="156" spans="1:7">
      <c r="A156" s="467"/>
      <c r="B156" s="467"/>
      <c r="C156" s="467"/>
      <c r="D156" s="467"/>
      <c r="E156" s="467"/>
      <c r="F156" s="467"/>
      <c r="G156" s="467"/>
    </row>
    <row r="157" spans="1:7">
      <c r="A157" s="467"/>
      <c r="B157" s="467"/>
      <c r="C157" s="467"/>
      <c r="D157" s="467"/>
      <c r="E157" s="467"/>
      <c r="F157" s="467"/>
      <c r="G157" s="467"/>
    </row>
    <row r="158" spans="1:7">
      <c r="A158" s="467"/>
      <c r="B158" s="467"/>
      <c r="C158" s="467"/>
      <c r="D158" s="467"/>
      <c r="E158" s="467"/>
      <c r="F158" s="467"/>
      <c r="G158" s="467"/>
    </row>
    <row r="159" spans="1:7">
      <c r="A159" s="467"/>
      <c r="B159" s="467"/>
      <c r="C159" s="467"/>
      <c r="D159" s="467"/>
      <c r="E159" s="467"/>
      <c r="F159" s="467"/>
      <c r="G159" s="467"/>
    </row>
    <row r="160" spans="1:7">
      <c r="A160" s="467"/>
      <c r="B160" s="467"/>
      <c r="C160" s="467"/>
      <c r="D160" s="467"/>
      <c r="E160" s="467"/>
      <c r="F160" s="467"/>
      <c r="G160" s="467"/>
    </row>
    <row r="161" spans="1:7">
      <c r="A161" s="467"/>
      <c r="B161" s="467"/>
      <c r="C161" s="467"/>
      <c r="D161" s="467"/>
      <c r="E161" s="467"/>
      <c r="F161" s="467"/>
      <c r="G161" s="467"/>
    </row>
    <row r="162" spans="1:7">
      <c r="A162" s="467"/>
      <c r="B162" s="467"/>
      <c r="C162" s="467"/>
      <c r="D162" s="467"/>
      <c r="E162" s="467"/>
      <c r="F162" s="467"/>
      <c r="G162" s="467"/>
    </row>
    <row r="163" spans="1:7">
      <c r="A163" s="467"/>
      <c r="B163" s="467"/>
      <c r="C163" s="467"/>
      <c r="D163" s="467"/>
      <c r="E163" s="467"/>
      <c r="F163" s="467"/>
      <c r="G163" s="467"/>
    </row>
    <row r="164" spans="1:7">
      <c r="A164" s="467"/>
      <c r="B164" s="467"/>
      <c r="C164" s="467"/>
      <c r="D164" s="467"/>
      <c r="E164" s="467"/>
      <c r="F164" s="467"/>
      <c r="G164" s="467"/>
    </row>
    <row r="165" spans="1:7">
      <c r="A165" s="467"/>
      <c r="B165" s="467"/>
      <c r="C165" s="467"/>
      <c r="D165" s="467"/>
      <c r="E165" s="467"/>
      <c r="F165" s="467"/>
      <c r="G165" s="467"/>
    </row>
    <row r="166" spans="1:7">
      <c r="A166" s="467"/>
      <c r="B166" s="467"/>
      <c r="C166" s="467"/>
      <c r="D166" s="467"/>
      <c r="E166" s="467"/>
      <c r="F166" s="467"/>
      <c r="G166" s="467"/>
    </row>
    <row r="167" spans="1:7">
      <c r="A167" s="467"/>
      <c r="B167" s="467"/>
      <c r="C167" s="467"/>
      <c r="D167" s="467"/>
      <c r="E167" s="467"/>
      <c r="F167" s="467"/>
      <c r="G167" s="467"/>
    </row>
    <row r="168" spans="1:7">
      <c r="A168" s="467"/>
      <c r="B168" s="467"/>
      <c r="C168" s="467"/>
      <c r="D168" s="467"/>
      <c r="E168" s="467"/>
      <c r="F168" s="467"/>
      <c r="G168" s="467"/>
    </row>
    <row r="169" spans="1:7">
      <c r="A169" s="467"/>
      <c r="B169" s="467"/>
      <c r="C169" s="467"/>
      <c r="D169" s="467"/>
      <c r="E169" s="467"/>
      <c r="F169" s="467"/>
      <c r="G169" s="467"/>
    </row>
    <row r="170" spans="1:7">
      <c r="A170" s="467"/>
      <c r="B170" s="467"/>
      <c r="C170" s="467"/>
      <c r="D170" s="467"/>
      <c r="E170" s="467"/>
      <c r="F170" s="467"/>
      <c r="G170" s="467"/>
    </row>
    <row r="171" spans="1:7">
      <c r="A171" s="467"/>
      <c r="B171" s="467"/>
      <c r="C171" s="467"/>
      <c r="D171" s="467"/>
      <c r="E171" s="467"/>
      <c r="F171" s="467"/>
      <c r="G171" s="467"/>
    </row>
    <row r="172" spans="1:7">
      <c r="A172" s="467"/>
      <c r="B172" s="467"/>
      <c r="C172" s="467"/>
      <c r="D172" s="467"/>
      <c r="E172" s="467"/>
      <c r="F172" s="467"/>
      <c r="G172" s="467"/>
    </row>
    <row r="173" spans="1:7">
      <c r="A173" s="467"/>
      <c r="B173" s="467"/>
      <c r="C173" s="467"/>
      <c r="D173" s="467"/>
      <c r="E173" s="467"/>
      <c r="F173" s="467"/>
      <c r="G173" s="467"/>
    </row>
    <row r="174" spans="1:7">
      <c r="A174" s="467"/>
      <c r="B174" s="467"/>
      <c r="C174" s="467"/>
      <c r="D174" s="467"/>
      <c r="E174" s="467"/>
      <c r="F174" s="467"/>
      <c r="G174" s="467"/>
    </row>
    <row r="175" spans="1:7">
      <c r="A175" s="467"/>
      <c r="B175" s="467"/>
      <c r="C175" s="467"/>
      <c r="D175" s="467"/>
      <c r="E175" s="467"/>
      <c r="F175" s="467"/>
      <c r="G175" s="467"/>
    </row>
    <row r="176" spans="1:7">
      <c r="A176" s="467"/>
      <c r="B176" s="467"/>
      <c r="C176" s="467"/>
      <c r="D176" s="467"/>
      <c r="E176" s="467"/>
      <c r="F176" s="467"/>
      <c r="G176" s="467"/>
    </row>
    <row r="177" spans="1:7">
      <c r="A177" s="467"/>
      <c r="B177" s="467"/>
      <c r="C177" s="467"/>
      <c r="D177" s="467"/>
      <c r="E177" s="467"/>
      <c r="F177" s="467"/>
      <c r="G177" s="467"/>
    </row>
    <row r="178" spans="1:7">
      <c r="A178" s="467"/>
      <c r="B178" s="467"/>
      <c r="C178" s="467"/>
      <c r="D178" s="467"/>
      <c r="E178" s="467"/>
      <c r="F178" s="467"/>
      <c r="G178" s="467"/>
    </row>
    <row r="179" spans="1:7">
      <c r="A179" s="467"/>
      <c r="B179" s="467"/>
      <c r="C179" s="467"/>
      <c r="D179" s="467"/>
      <c r="E179" s="467"/>
      <c r="F179" s="467"/>
      <c r="G179" s="467"/>
    </row>
    <row r="180" spans="1:7">
      <c r="A180" s="467"/>
      <c r="B180" s="467"/>
      <c r="C180" s="467"/>
      <c r="D180" s="467"/>
      <c r="E180" s="467"/>
      <c r="F180" s="467"/>
      <c r="G180" s="467"/>
    </row>
    <row r="181" spans="1:7">
      <c r="A181" s="467"/>
      <c r="B181" s="467"/>
      <c r="C181" s="467"/>
      <c r="D181" s="467"/>
      <c r="E181" s="467"/>
      <c r="F181" s="467"/>
      <c r="G181" s="467"/>
    </row>
    <row r="182" spans="1:7">
      <c r="A182" s="467"/>
      <c r="B182" s="467"/>
      <c r="C182" s="467"/>
      <c r="D182" s="467"/>
      <c r="E182" s="467"/>
      <c r="F182" s="467"/>
      <c r="G182" s="467"/>
    </row>
    <row r="183" spans="1:7">
      <c r="A183" s="467"/>
      <c r="B183" s="467"/>
      <c r="C183" s="467"/>
      <c r="D183" s="467"/>
      <c r="E183" s="467"/>
      <c r="F183" s="467"/>
      <c r="G183" s="467"/>
    </row>
    <row r="184" spans="1:7">
      <c r="A184" s="467"/>
      <c r="B184" s="467"/>
      <c r="C184" s="467"/>
      <c r="D184" s="467"/>
      <c r="E184" s="467"/>
      <c r="F184" s="467"/>
      <c r="G184" s="467"/>
    </row>
    <row r="185" spans="1:7">
      <c r="A185" s="467"/>
      <c r="B185" s="467"/>
      <c r="C185" s="467"/>
      <c r="D185" s="467"/>
      <c r="E185" s="467"/>
      <c r="F185" s="467"/>
      <c r="G185" s="467"/>
    </row>
    <row r="186" spans="1:7">
      <c r="A186" s="467"/>
      <c r="B186" s="467"/>
      <c r="C186" s="467"/>
      <c r="D186" s="467"/>
      <c r="E186" s="467"/>
      <c r="F186" s="467"/>
      <c r="G186" s="467"/>
    </row>
    <row r="187" spans="1:7">
      <c r="A187" s="467"/>
      <c r="B187" s="467"/>
      <c r="C187" s="467"/>
      <c r="D187" s="467"/>
      <c r="E187" s="467"/>
      <c r="F187" s="467"/>
      <c r="G187" s="467"/>
    </row>
    <row r="188" spans="1:7">
      <c r="A188" s="467"/>
      <c r="B188" s="467"/>
      <c r="C188" s="467"/>
      <c r="D188" s="467"/>
      <c r="E188" s="467"/>
      <c r="F188" s="467"/>
      <c r="G188" s="467"/>
    </row>
    <row r="189" spans="1:7">
      <c r="A189" s="467"/>
      <c r="B189" s="467"/>
      <c r="C189" s="467"/>
      <c r="D189" s="467"/>
      <c r="E189" s="467"/>
      <c r="F189" s="467"/>
      <c r="G189" s="467"/>
    </row>
    <row r="190" spans="1:7">
      <c r="A190" s="467"/>
      <c r="B190" s="467"/>
      <c r="C190" s="467"/>
      <c r="D190" s="467"/>
      <c r="E190" s="467"/>
      <c r="F190" s="467"/>
      <c r="G190" s="467"/>
    </row>
    <row r="191" spans="1:7">
      <c r="A191" s="467"/>
      <c r="B191" s="467"/>
      <c r="C191" s="467"/>
      <c r="D191" s="467"/>
      <c r="E191" s="467"/>
      <c r="F191" s="467"/>
      <c r="G191" s="467"/>
    </row>
    <row r="192" spans="1:7">
      <c r="A192" s="467"/>
      <c r="B192" s="467"/>
      <c r="C192" s="467"/>
      <c r="D192" s="467"/>
      <c r="E192" s="467"/>
      <c r="F192" s="467"/>
      <c r="G192" s="467"/>
    </row>
    <row r="193" spans="1:7">
      <c r="A193" s="467"/>
      <c r="B193" s="467"/>
      <c r="C193" s="467"/>
      <c r="D193" s="467"/>
      <c r="E193" s="467"/>
      <c r="F193" s="467"/>
      <c r="G193" s="467"/>
    </row>
    <row r="194" spans="1:7">
      <c r="A194" s="467"/>
      <c r="B194" s="467"/>
      <c r="C194" s="467"/>
      <c r="D194" s="467"/>
      <c r="E194" s="467"/>
      <c r="F194" s="467"/>
      <c r="G194" s="467"/>
    </row>
    <row r="195" spans="1:7">
      <c r="A195" s="467"/>
      <c r="B195" s="467"/>
      <c r="C195" s="467"/>
      <c r="D195" s="467"/>
      <c r="E195" s="467"/>
      <c r="F195" s="467"/>
      <c r="G195" s="467"/>
    </row>
    <row r="196" spans="1:7">
      <c r="A196" s="467"/>
      <c r="B196" s="467"/>
      <c r="C196" s="467"/>
      <c r="D196" s="467"/>
      <c r="E196" s="467"/>
      <c r="F196" s="467"/>
      <c r="G196" s="467"/>
    </row>
    <row r="197" spans="1:7">
      <c r="A197" s="467"/>
      <c r="B197" s="467"/>
      <c r="C197" s="467"/>
      <c r="D197" s="467"/>
      <c r="E197" s="467"/>
      <c r="F197" s="467"/>
      <c r="G197" s="467"/>
    </row>
    <row r="198" spans="1:7">
      <c r="A198" s="467"/>
      <c r="B198" s="467"/>
      <c r="C198" s="467"/>
      <c r="D198" s="467"/>
      <c r="E198" s="467"/>
      <c r="F198" s="467"/>
      <c r="G198" s="467"/>
    </row>
    <row r="199" spans="1:7">
      <c r="A199" s="467"/>
      <c r="B199" s="467"/>
      <c r="C199" s="467"/>
      <c r="D199" s="467"/>
      <c r="E199" s="467"/>
      <c r="F199" s="467"/>
      <c r="G199" s="467"/>
    </row>
    <row r="200" spans="1:7">
      <c r="A200" s="467"/>
      <c r="B200" s="467"/>
      <c r="C200" s="467"/>
      <c r="D200" s="467"/>
      <c r="E200" s="467"/>
      <c r="F200" s="467"/>
      <c r="G200" s="467"/>
    </row>
    <row r="201" spans="1:7">
      <c r="A201" s="467"/>
      <c r="B201" s="467"/>
      <c r="C201" s="467"/>
      <c r="D201" s="467"/>
      <c r="E201" s="467"/>
      <c r="F201" s="467"/>
      <c r="G201" s="467"/>
    </row>
    <row r="202" spans="1:7">
      <c r="A202" s="467"/>
      <c r="B202" s="467"/>
      <c r="C202" s="467"/>
      <c r="D202" s="467"/>
      <c r="E202" s="467"/>
      <c r="F202" s="467"/>
      <c r="G202" s="467"/>
    </row>
    <row r="203" spans="1:7">
      <c r="A203" s="467"/>
      <c r="B203" s="467"/>
      <c r="C203" s="467"/>
      <c r="D203" s="467"/>
      <c r="E203" s="467"/>
      <c r="F203" s="467"/>
      <c r="G203" s="467"/>
    </row>
    <row r="204" spans="1:7">
      <c r="A204" s="467"/>
      <c r="B204" s="467"/>
      <c r="C204" s="467"/>
      <c r="D204" s="467"/>
      <c r="E204" s="467"/>
      <c r="F204" s="467"/>
      <c r="G204" s="467"/>
    </row>
    <row r="205" spans="1:7">
      <c r="A205" s="467"/>
      <c r="B205" s="467"/>
      <c r="C205" s="467"/>
      <c r="D205" s="467"/>
      <c r="E205" s="467"/>
      <c r="F205" s="467"/>
      <c r="G205" s="467"/>
    </row>
    <row r="206" spans="1:7">
      <c r="A206" s="467"/>
      <c r="B206" s="467"/>
      <c r="C206" s="467"/>
      <c r="D206" s="467"/>
      <c r="E206" s="467"/>
      <c r="F206" s="467"/>
      <c r="G206" s="467"/>
    </row>
    <row r="207" spans="1:7">
      <c r="A207" s="467"/>
      <c r="B207" s="467"/>
      <c r="C207" s="467"/>
      <c r="D207" s="467"/>
      <c r="E207" s="467"/>
      <c r="F207" s="467"/>
      <c r="G207" s="467"/>
    </row>
    <row r="208" spans="1:7">
      <c r="A208" s="467"/>
      <c r="B208" s="467"/>
      <c r="C208" s="467"/>
      <c r="D208" s="467"/>
      <c r="E208" s="467"/>
      <c r="F208" s="467"/>
      <c r="G208" s="467"/>
    </row>
    <row r="209" spans="1:7">
      <c r="A209" s="467"/>
      <c r="B209" s="467"/>
      <c r="C209" s="467"/>
      <c r="D209" s="467"/>
      <c r="E209" s="467"/>
      <c r="F209" s="467"/>
      <c r="G209" s="467"/>
    </row>
    <row r="210" spans="1:7">
      <c r="A210" s="467"/>
      <c r="B210" s="467"/>
      <c r="C210" s="467"/>
      <c r="D210" s="467"/>
      <c r="E210" s="467"/>
      <c r="F210" s="467"/>
      <c r="G210" s="467"/>
    </row>
    <row r="211" spans="1:7">
      <c r="A211" s="467"/>
      <c r="B211" s="467"/>
      <c r="C211" s="467"/>
      <c r="D211" s="467"/>
      <c r="E211" s="467"/>
      <c r="F211" s="467"/>
      <c r="G211" s="467"/>
    </row>
    <row r="212" spans="1:7">
      <c r="A212" s="467"/>
      <c r="B212" s="467"/>
      <c r="C212" s="467"/>
      <c r="D212" s="467"/>
      <c r="E212" s="467"/>
      <c r="F212" s="467"/>
      <c r="G212" s="467"/>
    </row>
    <row r="213" spans="1:7">
      <c r="A213" s="467"/>
      <c r="B213" s="467"/>
      <c r="C213" s="467"/>
      <c r="D213" s="467"/>
      <c r="E213" s="467"/>
      <c r="F213" s="467"/>
      <c r="G213" s="467"/>
    </row>
    <row r="214" spans="1:7">
      <c r="A214" s="467"/>
      <c r="B214" s="467"/>
      <c r="C214" s="467"/>
      <c r="D214" s="467"/>
      <c r="E214" s="467"/>
      <c r="F214" s="467"/>
      <c r="G214" s="467"/>
    </row>
    <row r="215" spans="1:7">
      <c r="A215" s="467"/>
      <c r="B215" s="467"/>
      <c r="C215" s="467"/>
      <c r="D215" s="467"/>
      <c r="E215" s="467"/>
      <c r="F215" s="467"/>
      <c r="G215" s="467"/>
    </row>
    <row r="216" spans="1:7">
      <c r="A216" s="467"/>
      <c r="B216" s="467"/>
      <c r="C216" s="467"/>
      <c r="D216" s="467"/>
      <c r="E216" s="467"/>
      <c r="F216" s="467"/>
      <c r="G216" s="467"/>
    </row>
    <row r="217" spans="1:7">
      <c r="A217" s="467"/>
      <c r="B217" s="467"/>
      <c r="C217" s="467"/>
      <c r="D217" s="467"/>
      <c r="E217" s="467"/>
      <c r="F217" s="467"/>
      <c r="G217" s="467"/>
    </row>
    <row r="218" spans="1:7">
      <c r="A218" s="467"/>
      <c r="B218" s="467"/>
      <c r="C218" s="467"/>
      <c r="D218" s="467"/>
      <c r="E218" s="467"/>
      <c r="F218" s="467"/>
      <c r="G218" s="467"/>
    </row>
    <row r="219" spans="1:7">
      <c r="A219" s="467"/>
      <c r="B219" s="467"/>
      <c r="C219" s="467"/>
      <c r="D219" s="467"/>
      <c r="E219" s="467"/>
      <c r="F219" s="467"/>
      <c r="G219" s="467"/>
    </row>
    <row r="220" spans="1:7">
      <c r="A220" s="467"/>
      <c r="B220" s="467"/>
      <c r="C220" s="467"/>
      <c r="D220" s="467"/>
      <c r="E220" s="467"/>
      <c r="F220" s="467"/>
      <c r="G220" s="467"/>
    </row>
    <row r="221" spans="1:7">
      <c r="A221" s="467"/>
      <c r="B221" s="467"/>
      <c r="C221" s="467"/>
      <c r="D221" s="467"/>
      <c r="E221" s="467"/>
      <c r="F221" s="467"/>
      <c r="G221" s="467"/>
    </row>
    <row r="222" spans="1:7">
      <c r="A222" s="467"/>
      <c r="B222" s="467"/>
      <c r="C222" s="467"/>
      <c r="D222" s="467"/>
      <c r="E222" s="467"/>
      <c r="F222" s="467"/>
      <c r="G222" s="467"/>
    </row>
    <row r="223" spans="1:7">
      <c r="A223" s="467"/>
      <c r="B223" s="467"/>
      <c r="C223" s="467"/>
      <c r="D223" s="467"/>
      <c r="E223" s="467"/>
      <c r="F223" s="467"/>
      <c r="G223" s="467"/>
    </row>
    <row r="224" spans="1:7">
      <c r="A224" s="467"/>
      <c r="B224" s="467"/>
      <c r="C224" s="467"/>
      <c r="D224" s="467"/>
      <c r="E224" s="467"/>
      <c r="F224" s="467"/>
      <c r="G224" s="467"/>
    </row>
    <row r="225" spans="1:7">
      <c r="A225" s="467"/>
      <c r="B225" s="467"/>
      <c r="C225" s="467"/>
      <c r="D225" s="467"/>
      <c r="E225" s="467"/>
      <c r="F225" s="467"/>
      <c r="G225" s="467"/>
    </row>
    <row r="226" spans="1:7">
      <c r="A226" s="467"/>
      <c r="B226" s="467"/>
      <c r="C226" s="467"/>
      <c r="D226" s="467"/>
      <c r="E226" s="467"/>
      <c r="F226" s="467"/>
      <c r="G226" s="467"/>
    </row>
    <row r="227" spans="1:7">
      <c r="A227" s="467"/>
      <c r="B227" s="467"/>
      <c r="C227" s="467"/>
      <c r="D227" s="467"/>
      <c r="E227" s="467"/>
      <c r="F227" s="467"/>
      <c r="G227" s="467"/>
    </row>
    <row r="228" spans="1:7">
      <c r="A228" s="467"/>
      <c r="B228" s="467"/>
      <c r="C228" s="467"/>
      <c r="D228" s="467"/>
      <c r="E228" s="467"/>
      <c r="F228" s="467"/>
      <c r="G228" s="467"/>
    </row>
    <row r="229" spans="1:7">
      <c r="A229" s="467"/>
      <c r="B229" s="467"/>
      <c r="C229" s="467"/>
      <c r="D229" s="467"/>
      <c r="E229" s="467"/>
      <c r="F229" s="467"/>
      <c r="G229" s="467"/>
    </row>
    <row r="230" spans="1:7">
      <c r="A230" s="467"/>
      <c r="B230" s="467"/>
      <c r="C230" s="467"/>
      <c r="D230" s="467"/>
      <c r="E230" s="467"/>
      <c r="F230" s="467"/>
      <c r="G230" s="467"/>
    </row>
    <row r="231" spans="1:7">
      <c r="A231" s="467"/>
      <c r="B231" s="467"/>
      <c r="C231" s="467"/>
      <c r="D231" s="467"/>
      <c r="E231" s="467"/>
      <c r="F231" s="467"/>
      <c r="G231" s="467"/>
    </row>
    <row r="232" spans="1:7">
      <c r="A232" s="467"/>
      <c r="B232" s="467"/>
      <c r="C232" s="467"/>
      <c r="D232" s="467"/>
      <c r="E232" s="467"/>
      <c r="F232" s="467"/>
      <c r="G232" s="467"/>
    </row>
    <row r="233" spans="1:7">
      <c r="A233" s="467"/>
      <c r="B233" s="467"/>
      <c r="C233" s="467"/>
      <c r="D233" s="467"/>
      <c r="E233" s="467"/>
      <c r="F233" s="467"/>
      <c r="G233" s="467"/>
    </row>
    <row r="234" spans="1:7">
      <c r="A234" s="467"/>
      <c r="B234" s="467"/>
      <c r="C234" s="467"/>
      <c r="D234" s="467"/>
      <c r="E234" s="467"/>
      <c r="F234" s="467"/>
      <c r="G234" s="467"/>
    </row>
    <row r="235" spans="1:7">
      <c r="A235" s="467"/>
      <c r="B235" s="467"/>
      <c r="C235" s="467"/>
      <c r="D235" s="467"/>
      <c r="E235" s="467"/>
      <c r="F235" s="467"/>
      <c r="G235" s="467"/>
    </row>
    <row r="236" spans="1:7">
      <c r="A236" s="467"/>
      <c r="B236" s="467"/>
      <c r="C236" s="467"/>
      <c r="D236" s="467"/>
      <c r="E236" s="467"/>
      <c r="F236" s="467"/>
      <c r="G236" s="467"/>
    </row>
    <row r="237" spans="1:7">
      <c r="A237" s="467"/>
      <c r="B237" s="467"/>
      <c r="C237" s="467"/>
      <c r="D237" s="467"/>
      <c r="E237" s="467"/>
      <c r="F237" s="467"/>
      <c r="G237" s="467"/>
    </row>
    <row r="238" spans="1:7">
      <c r="A238" s="467"/>
      <c r="B238" s="467"/>
      <c r="C238" s="467"/>
      <c r="D238" s="467"/>
      <c r="E238" s="467"/>
      <c r="F238" s="467"/>
      <c r="G238" s="467"/>
    </row>
    <row r="239" spans="1:7">
      <c r="A239" s="467"/>
      <c r="B239" s="467"/>
      <c r="C239" s="467"/>
      <c r="D239" s="467"/>
      <c r="E239" s="467"/>
      <c r="F239" s="467"/>
      <c r="G239" s="467"/>
    </row>
    <row r="240" spans="1:7">
      <c r="A240" s="467"/>
      <c r="B240" s="467"/>
      <c r="C240" s="467"/>
      <c r="D240" s="467"/>
      <c r="E240" s="467"/>
      <c r="F240" s="467"/>
      <c r="G240" s="467"/>
    </row>
    <row r="241" spans="1:7">
      <c r="A241" s="467"/>
      <c r="B241" s="467"/>
      <c r="C241" s="467"/>
      <c r="D241" s="467"/>
      <c r="E241" s="467"/>
      <c r="F241" s="467"/>
      <c r="G241" s="467"/>
    </row>
    <row r="242" spans="1:7">
      <c r="A242" s="467"/>
      <c r="B242" s="467"/>
      <c r="C242" s="467"/>
      <c r="D242" s="467"/>
      <c r="E242" s="467"/>
      <c r="F242" s="467"/>
      <c r="G242" s="467"/>
    </row>
    <row r="243" spans="1:7">
      <c r="A243" s="467"/>
      <c r="B243" s="467"/>
      <c r="C243" s="467"/>
      <c r="D243" s="467"/>
      <c r="E243" s="467"/>
      <c r="F243" s="467"/>
      <c r="G243" s="467"/>
    </row>
    <row r="244" spans="1:7">
      <c r="A244" s="467"/>
      <c r="B244" s="467"/>
      <c r="C244" s="467"/>
      <c r="D244" s="467"/>
      <c r="E244" s="467"/>
      <c r="F244" s="467"/>
      <c r="G244" s="467"/>
    </row>
    <row r="245" spans="1:7">
      <c r="A245" s="467"/>
      <c r="B245" s="467"/>
      <c r="C245" s="467"/>
      <c r="D245" s="467"/>
      <c r="E245" s="467"/>
      <c r="F245" s="467"/>
      <c r="G245" s="467"/>
    </row>
    <row r="246" spans="1:7">
      <c r="A246" s="467"/>
      <c r="B246" s="467"/>
      <c r="C246" s="467"/>
      <c r="D246" s="467"/>
      <c r="E246" s="467"/>
      <c r="F246" s="467"/>
      <c r="G246" s="467"/>
    </row>
    <row r="247" spans="1:7">
      <c r="A247" s="467"/>
      <c r="B247" s="467"/>
      <c r="C247" s="467"/>
      <c r="D247" s="467"/>
      <c r="E247" s="467"/>
      <c r="F247" s="467"/>
      <c r="G247" s="467"/>
    </row>
    <row r="248" spans="1:7">
      <c r="A248" s="467"/>
      <c r="B248" s="467"/>
      <c r="C248" s="467"/>
      <c r="D248" s="467"/>
      <c r="E248" s="467"/>
      <c r="F248" s="467"/>
      <c r="G248" s="467"/>
    </row>
    <row r="249" spans="1:7">
      <c r="A249" s="467"/>
      <c r="B249" s="467"/>
      <c r="C249" s="467"/>
      <c r="D249" s="467"/>
      <c r="E249" s="467"/>
      <c r="F249" s="467"/>
      <c r="G249" s="467"/>
    </row>
    <row r="250" spans="1:7">
      <c r="A250" s="467"/>
      <c r="B250" s="467"/>
      <c r="C250" s="467"/>
      <c r="D250" s="467"/>
      <c r="E250" s="467"/>
      <c r="F250" s="467"/>
      <c r="G250" s="467"/>
    </row>
    <row r="251" spans="1:7">
      <c r="A251" s="467"/>
      <c r="B251" s="467"/>
      <c r="C251" s="467"/>
      <c r="D251" s="467"/>
      <c r="E251" s="467"/>
      <c r="F251" s="467"/>
      <c r="G251" s="467"/>
    </row>
    <row r="252" spans="1:7">
      <c r="A252" s="467"/>
      <c r="B252" s="467"/>
      <c r="C252" s="467"/>
      <c r="D252" s="467"/>
      <c r="E252" s="467"/>
      <c r="F252" s="467"/>
      <c r="G252" s="467"/>
    </row>
    <row r="253" spans="1:7">
      <c r="A253" s="467"/>
      <c r="B253" s="467"/>
      <c r="C253" s="467"/>
      <c r="D253" s="467"/>
      <c r="E253" s="467"/>
      <c r="F253" s="467"/>
      <c r="G253" s="467"/>
    </row>
    <row r="254" spans="1:7">
      <c r="A254" s="467"/>
      <c r="B254" s="467"/>
      <c r="C254" s="467"/>
      <c r="D254" s="467"/>
      <c r="E254" s="467"/>
      <c r="F254" s="467"/>
      <c r="G254" s="467"/>
    </row>
    <row r="255" spans="1:7">
      <c r="A255" s="467"/>
      <c r="B255" s="467"/>
      <c r="C255" s="467"/>
      <c r="D255" s="467"/>
      <c r="E255" s="467"/>
      <c r="F255" s="467"/>
      <c r="G255" s="467"/>
    </row>
    <row r="256" spans="1:7">
      <c r="A256" s="467"/>
      <c r="B256" s="467"/>
      <c r="C256" s="467"/>
      <c r="D256" s="467"/>
      <c r="E256" s="467"/>
      <c r="F256" s="467"/>
      <c r="G256" s="467"/>
    </row>
    <row r="257" spans="1:7">
      <c r="A257" s="467"/>
      <c r="B257" s="467"/>
      <c r="C257" s="467"/>
      <c r="D257" s="467"/>
      <c r="E257" s="467"/>
      <c r="F257" s="467"/>
      <c r="G257" s="467"/>
    </row>
    <row r="258" spans="1:7">
      <c r="A258" s="467"/>
      <c r="B258" s="467"/>
      <c r="C258" s="467"/>
      <c r="D258" s="467"/>
      <c r="E258" s="467"/>
      <c r="F258" s="467"/>
      <c r="G258" s="467"/>
    </row>
    <row r="259" spans="1:7">
      <c r="A259" s="467"/>
      <c r="B259" s="467"/>
      <c r="C259" s="467"/>
      <c r="D259" s="467"/>
      <c r="E259" s="467"/>
      <c r="F259" s="467"/>
      <c r="G259" s="467"/>
    </row>
    <row r="260" spans="1:7">
      <c r="A260" s="467"/>
      <c r="B260" s="467"/>
      <c r="C260" s="467"/>
      <c r="D260" s="467"/>
      <c r="E260" s="467"/>
      <c r="F260" s="467"/>
      <c r="G260" s="467"/>
    </row>
    <row r="261" spans="1:7">
      <c r="A261" s="467"/>
      <c r="B261" s="467"/>
      <c r="C261" s="467"/>
      <c r="D261" s="467"/>
      <c r="E261" s="467"/>
      <c r="F261" s="467"/>
      <c r="G261" s="467"/>
    </row>
    <row r="262" spans="1:7">
      <c r="A262" s="467"/>
      <c r="B262" s="467"/>
      <c r="C262" s="467"/>
      <c r="D262" s="467"/>
      <c r="E262" s="467"/>
      <c r="F262" s="467"/>
      <c r="G262" s="467"/>
    </row>
    <row r="263" spans="1:7">
      <c r="A263" s="467"/>
      <c r="B263" s="467"/>
      <c r="C263" s="467"/>
      <c r="D263" s="467"/>
      <c r="E263" s="467"/>
      <c r="F263" s="467"/>
      <c r="G263" s="467"/>
    </row>
    <row r="264" spans="1:7">
      <c r="A264" s="467"/>
      <c r="B264" s="467"/>
      <c r="C264" s="467"/>
      <c r="D264" s="467"/>
      <c r="E264" s="467"/>
      <c r="F264" s="467"/>
      <c r="G264" s="467"/>
    </row>
    <row r="265" spans="1:7">
      <c r="A265" s="467"/>
      <c r="B265" s="467"/>
      <c r="C265" s="467"/>
      <c r="D265" s="467"/>
      <c r="E265" s="467"/>
      <c r="F265" s="467"/>
      <c r="G265" s="467"/>
    </row>
    <row r="266" spans="1:7">
      <c r="A266" s="467"/>
      <c r="B266" s="467"/>
      <c r="C266" s="467"/>
      <c r="D266" s="467"/>
      <c r="E266" s="467"/>
      <c r="F266" s="467"/>
      <c r="G266" s="467"/>
    </row>
    <row r="267" spans="1:7">
      <c r="A267" s="467"/>
      <c r="B267" s="467"/>
      <c r="C267" s="467"/>
      <c r="D267" s="467"/>
      <c r="E267" s="467"/>
      <c r="F267" s="467"/>
      <c r="G267" s="467"/>
    </row>
    <row r="268" spans="1:7">
      <c r="A268" s="467"/>
      <c r="B268" s="467"/>
      <c r="C268" s="467"/>
      <c r="D268" s="467"/>
      <c r="E268" s="467"/>
      <c r="F268" s="467"/>
      <c r="G268" s="467"/>
    </row>
    <row r="269" spans="1:7">
      <c r="A269" s="467"/>
      <c r="B269" s="467"/>
      <c r="C269" s="467"/>
      <c r="D269" s="467"/>
      <c r="E269" s="467"/>
      <c r="F269" s="467"/>
      <c r="G269" s="467"/>
    </row>
    <row r="270" spans="1:7">
      <c r="A270" s="467"/>
      <c r="B270" s="467"/>
      <c r="C270" s="467"/>
      <c r="D270" s="467"/>
      <c r="E270" s="467"/>
      <c r="F270" s="467"/>
      <c r="G270" s="467"/>
    </row>
    <row r="271" spans="1:7">
      <c r="A271" s="467"/>
      <c r="B271" s="467"/>
      <c r="C271" s="467"/>
      <c r="D271" s="467"/>
      <c r="E271" s="467"/>
      <c r="F271" s="467"/>
      <c r="G271" s="467"/>
    </row>
    <row r="272" spans="1:7">
      <c r="A272" s="467"/>
      <c r="B272" s="467"/>
      <c r="C272" s="467"/>
      <c r="D272" s="467"/>
      <c r="E272" s="467"/>
      <c r="F272" s="467"/>
      <c r="G272" s="467"/>
    </row>
    <row r="273" spans="1:7">
      <c r="A273" s="467"/>
      <c r="B273" s="467"/>
      <c r="C273" s="467"/>
      <c r="D273" s="467"/>
      <c r="E273" s="467"/>
      <c r="F273" s="467"/>
      <c r="G273" s="467"/>
    </row>
    <row r="274" spans="1:7">
      <c r="A274" s="467"/>
      <c r="B274" s="467"/>
      <c r="C274" s="467"/>
      <c r="D274" s="467"/>
      <c r="E274" s="467"/>
      <c r="F274" s="467"/>
      <c r="G274" s="467"/>
    </row>
    <row r="275" spans="1:7">
      <c r="A275" s="467"/>
      <c r="B275" s="467"/>
      <c r="C275" s="467"/>
      <c r="D275" s="467"/>
      <c r="E275" s="467"/>
      <c r="F275" s="467"/>
      <c r="G275" s="467"/>
    </row>
    <row r="276" spans="1:7">
      <c r="A276" s="467"/>
      <c r="B276" s="467"/>
      <c r="C276" s="467"/>
      <c r="D276" s="467"/>
      <c r="E276" s="467"/>
      <c r="F276" s="467"/>
      <c r="G276" s="467"/>
    </row>
    <row r="277" spans="1:7">
      <c r="A277" s="467"/>
      <c r="B277" s="467"/>
      <c r="C277" s="467"/>
      <c r="D277" s="467"/>
      <c r="E277" s="467"/>
      <c r="F277" s="467"/>
      <c r="G277" s="467"/>
    </row>
    <row r="278" spans="1:7">
      <c r="A278" s="467"/>
      <c r="B278" s="467"/>
      <c r="C278" s="467"/>
      <c r="D278" s="467"/>
      <c r="E278" s="467"/>
      <c r="F278" s="467"/>
      <c r="G278" s="467"/>
    </row>
    <row r="279" spans="1:7">
      <c r="A279" s="467"/>
      <c r="B279" s="467"/>
      <c r="C279" s="467"/>
      <c r="D279" s="467"/>
      <c r="E279" s="467"/>
      <c r="F279" s="467"/>
      <c r="G279" s="467"/>
    </row>
    <row r="280" spans="1:7">
      <c r="A280" s="467"/>
      <c r="B280" s="467"/>
      <c r="C280" s="467"/>
      <c r="D280" s="467"/>
      <c r="E280" s="467"/>
      <c r="F280" s="467"/>
      <c r="G280" s="467"/>
    </row>
    <row r="281" spans="1:7">
      <c r="A281" s="467"/>
      <c r="B281" s="467"/>
      <c r="C281" s="467"/>
      <c r="D281" s="467"/>
      <c r="E281" s="467"/>
      <c r="F281" s="467"/>
      <c r="G281" s="467"/>
    </row>
    <row r="282" spans="1:7">
      <c r="A282" s="467"/>
      <c r="B282" s="467"/>
      <c r="C282" s="467"/>
      <c r="D282" s="467"/>
      <c r="E282" s="467"/>
      <c r="F282" s="467"/>
      <c r="G282" s="467"/>
    </row>
    <row r="283" spans="1:7">
      <c r="A283" s="467"/>
      <c r="B283" s="467"/>
      <c r="C283" s="467"/>
      <c r="D283" s="467"/>
      <c r="E283" s="467"/>
      <c r="F283" s="467"/>
      <c r="G283" s="467"/>
    </row>
    <row r="284" spans="1:7">
      <c r="A284" s="467"/>
      <c r="B284" s="467"/>
      <c r="C284" s="467"/>
      <c r="D284" s="467"/>
      <c r="E284" s="467"/>
      <c r="F284" s="467"/>
      <c r="G284" s="467"/>
    </row>
    <row r="285" spans="1:7">
      <c r="A285" s="467"/>
      <c r="B285" s="467"/>
      <c r="C285" s="467"/>
      <c r="D285" s="467"/>
      <c r="E285" s="467"/>
      <c r="F285" s="467"/>
      <c r="G285" s="467"/>
    </row>
    <row r="286" spans="1:7">
      <c r="A286" s="467"/>
      <c r="B286" s="467"/>
      <c r="C286" s="467"/>
      <c r="D286" s="467"/>
      <c r="E286" s="467"/>
      <c r="F286" s="467"/>
      <c r="G286" s="467"/>
    </row>
    <row r="287" spans="1:7">
      <c r="A287" s="467"/>
      <c r="B287" s="467"/>
      <c r="C287" s="467"/>
      <c r="D287" s="467"/>
      <c r="E287" s="467"/>
      <c r="F287" s="467"/>
      <c r="G287" s="467"/>
    </row>
    <row r="288" spans="1:7">
      <c r="A288" s="467"/>
      <c r="B288" s="467"/>
      <c r="C288" s="467"/>
      <c r="D288" s="467"/>
      <c r="E288" s="467"/>
      <c r="F288" s="467"/>
      <c r="G288" s="467"/>
    </row>
    <row r="289" spans="1:7">
      <c r="A289" s="467"/>
      <c r="B289" s="467"/>
      <c r="C289" s="467"/>
      <c r="D289" s="467"/>
      <c r="E289" s="467"/>
      <c r="F289" s="467"/>
      <c r="G289" s="467"/>
    </row>
    <row r="290" spans="1:7">
      <c r="A290" s="467"/>
      <c r="B290" s="467"/>
      <c r="C290" s="467"/>
      <c r="D290" s="467"/>
      <c r="E290" s="467"/>
      <c r="F290" s="467"/>
      <c r="G290" s="467"/>
    </row>
    <row r="291" spans="1:7">
      <c r="A291" s="467"/>
      <c r="B291" s="467"/>
      <c r="C291" s="467"/>
      <c r="D291" s="467"/>
      <c r="E291" s="467"/>
      <c r="F291" s="467"/>
      <c r="G291" s="467"/>
    </row>
    <row r="292" spans="1:7">
      <c r="A292" s="467"/>
      <c r="B292" s="467"/>
      <c r="C292" s="467"/>
      <c r="D292" s="467"/>
      <c r="E292" s="467"/>
      <c r="F292" s="467"/>
      <c r="G292" s="467"/>
    </row>
    <row r="293" spans="1:7">
      <c r="A293" s="467"/>
      <c r="B293" s="467"/>
      <c r="C293" s="467"/>
      <c r="D293" s="467"/>
      <c r="E293" s="467"/>
      <c r="F293" s="467"/>
      <c r="G293" s="467"/>
    </row>
    <row r="294" spans="1:7">
      <c r="A294" s="467"/>
      <c r="B294" s="467"/>
      <c r="C294" s="467"/>
      <c r="D294" s="467"/>
      <c r="E294" s="467"/>
      <c r="F294" s="467"/>
      <c r="G294" s="467"/>
    </row>
    <row r="295" spans="1:7">
      <c r="A295" s="467"/>
      <c r="B295" s="467"/>
      <c r="C295" s="467"/>
      <c r="D295" s="467"/>
      <c r="E295" s="467"/>
      <c r="F295" s="467"/>
      <c r="G295" s="467"/>
    </row>
    <row r="296" spans="1:7">
      <c r="A296" s="467"/>
      <c r="B296" s="467"/>
      <c r="C296" s="467"/>
      <c r="D296" s="467"/>
      <c r="E296" s="467"/>
      <c r="F296" s="467"/>
      <c r="G296" s="467"/>
    </row>
    <row r="297" spans="1:7">
      <c r="A297" s="467"/>
      <c r="B297" s="467"/>
      <c r="C297" s="467"/>
      <c r="D297" s="467"/>
      <c r="E297" s="467"/>
      <c r="F297" s="467"/>
      <c r="G297" s="467"/>
    </row>
    <row r="298" spans="1:7">
      <c r="A298" s="467"/>
      <c r="B298" s="467"/>
      <c r="C298" s="467"/>
      <c r="D298" s="467"/>
      <c r="E298" s="467"/>
      <c r="F298" s="467"/>
      <c r="G298" s="467"/>
    </row>
    <row r="299" spans="1:7">
      <c r="A299" s="467"/>
      <c r="B299" s="467"/>
      <c r="C299" s="467"/>
      <c r="D299" s="467"/>
      <c r="E299" s="467"/>
      <c r="F299" s="467"/>
      <c r="G299" s="467"/>
    </row>
    <row r="300" spans="1:7">
      <c r="A300" s="467"/>
      <c r="B300" s="467"/>
      <c r="C300" s="467"/>
      <c r="D300" s="467"/>
      <c r="E300" s="467"/>
      <c r="F300" s="467"/>
      <c r="G300" s="467"/>
    </row>
    <row r="301" spans="1:7">
      <c r="A301" s="467"/>
      <c r="B301" s="467"/>
      <c r="C301" s="467"/>
      <c r="D301" s="467"/>
      <c r="E301" s="467"/>
      <c r="F301" s="467"/>
      <c r="G301" s="467"/>
    </row>
    <row r="302" spans="1:7">
      <c r="A302" s="467"/>
      <c r="B302" s="467"/>
      <c r="C302" s="467"/>
      <c r="D302" s="467"/>
      <c r="E302" s="467"/>
      <c r="F302" s="467"/>
      <c r="G302" s="467"/>
    </row>
    <row r="303" spans="1:7">
      <c r="A303" s="467"/>
      <c r="B303" s="467"/>
      <c r="C303" s="467"/>
      <c r="D303" s="467"/>
      <c r="E303" s="467"/>
      <c r="F303" s="467"/>
      <c r="G303" s="467"/>
    </row>
    <row r="304" spans="1:7">
      <c r="A304" s="467"/>
      <c r="B304" s="467"/>
      <c r="C304" s="467"/>
      <c r="D304" s="467"/>
      <c r="E304" s="467"/>
      <c r="F304" s="467"/>
      <c r="G304" s="467"/>
    </row>
    <row r="305" spans="1:7">
      <c r="A305" s="467"/>
      <c r="B305" s="467"/>
      <c r="C305" s="467"/>
      <c r="D305" s="467"/>
      <c r="E305" s="467"/>
      <c r="F305" s="467"/>
      <c r="G305" s="467"/>
    </row>
    <row r="306" spans="1:7">
      <c r="A306" s="467"/>
      <c r="B306" s="467"/>
      <c r="C306" s="467"/>
      <c r="D306" s="467"/>
      <c r="E306" s="467"/>
      <c r="F306" s="467"/>
      <c r="G306" s="467"/>
    </row>
    <row r="307" spans="1:7">
      <c r="A307" s="467"/>
      <c r="B307" s="467"/>
      <c r="C307" s="467"/>
      <c r="D307" s="467"/>
      <c r="E307" s="467"/>
      <c r="F307" s="467"/>
      <c r="G307" s="467"/>
    </row>
    <row r="308" spans="1:7">
      <c r="A308" s="467"/>
      <c r="B308" s="467"/>
      <c r="C308" s="467"/>
      <c r="D308" s="467"/>
      <c r="E308" s="467"/>
      <c r="F308" s="467"/>
      <c r="G308" s="467"/>
    </row>
    <row r="309" spans="1:7">
      <c r="A309" s="467"/>
      <c r="B309" s="467"/>
      <c r="C309" s="467"/>
      <c r="D309" s="467"/>
      <c r="E309" s="467"/>
      <c r="F309" s="467"/>
      <c r="G309" s="467"/>
    </row>
    <row r="310" spans="1:7">
      <c r="A310" s="467"/>
      <c r="B310" s="467"/>
      <c r="C310" s="467"/>
      <c r="D310" s="467"/>
      <c r="E310" s="467"/>
      <c r="F310" s="467"/>
      <c r="G310" s="467"/>
    </row>
    <row r="311" spans="1:7">
      <c r="A311" s="467"/>
      <c r="B311" s="467"/>
      <c r="C311" s="467"/>
      <c r="D311" s="467"/>
      <c r="E311" s="467"/>
      <c r="F311" s="467"/>
      <c r="G311" s="467"/>
    </row>
    <row r="312" spans="1:7">
      <c r="A312" s="467"/>
      <c r="B312" s="467"/>
      <c r="C312" s="467"/>
      <c r="D312" s="467"/>
      <c r="E312" s="467"/>
      <c r="F312" s="467"/>
      <c r="G312" s="467"/>
    </row>
    <row r="313" spans="1:7">
      <c r="A313" s="467"/>
      <c r="B313" s="467"/>
      <c r="C313" s="467"/>
      <c r="D313" s="467"/>
      <c r="E313" s="467"/>
      <c r="F313" s="467"/>
      <c r="G313" s="467"/>
    </row>
    <row r="314" spans="1:7">
      <c r="A314" s="467"/>
      <c r="B314" s="467"/>
      <c r="C314" s="467"/>
      <c r="D314" s="467"/>
      <c r="E314" s="467"/>
      <c r="F314" s="467"/>
      <c r="G314" s="467"/>
    </row>
    <row r="315" spans="1:7">
      <c r="A315" s="467"/>
      <c r="B315" s="467"/>
      <c r="C315" s="467"/>
      <c r="D315" s="467"/>
      <c r="E315" s="467"/>
      <c r="F315" s="467"/>
      <c r="G315" s="467"/>
    </row>
    <row r="316" spans="1:7">
      <c r="A316" s="467"/>
      <c r="B316" s="467"/>
      <c r="C316" s="467"/>
      <c r="D316" s="467"/>
      <c r="E316" s="467"/>
      <c r="F316" s="467"/>
      <c r="G316" s="467"/>
    </row>
    <row r="317" spans="1:7">
      <c r="A317" s="467"/>
      <c r="B317" s="467"/>
      <c r="C317" s="467"/>
      <c r="D317" s="467"/>
      <c r="E317" s="467"/>
      <c r="F317" s="467"/>
      <c r="G317" s="467"/>
    </row>
    <row r="318" spans="1:7">
      <c r="A318" s="467"/>
      <c r="B318" s="467"/>
      <c r="C318" s="467"/>
      <c r="D318" s="467"/>
      <c r="E318" s="467"/>
      <c r="F318" s="467"/>
      <c r="G318" s="467"/>
    </row>
    <row r="319" spans="1:7">
      <c r="A319" s="467"/>
      <c r="B319" s="467"/>
      <c r="C319" s="467"/>
      <c r="D319" s="467"/>
      <c r="E319" s="467"/>
      <c r="F319" s="467"/>
      <c r="G319" s="467"/>
    </row>
    <row r="320" spans="1:7">
      <c r="A320" s="467"/>
      <c r="B320" s="467"/>
      <c r="C320" s="467"/>
      <c r="D320" s="467"/>
      <c r="E320" s="467"/>
      <c r="F320" s="467"/>
      <c r="G320" s="467"/>
    </row>
    <row r="321" spans="1:7">
      <c r="A321" s="467"/>
      <c r="B321" s="467"/>
      <c r="C321" s="467"/>
      <c r="D321" s="467"/>
      <c r="E321" s="467"/>
      <c r="F321" s="467"/>
      <c r="G321" s="467"/>
    </row>
    <row r="322" spans="1:7">
      <c r="A322" s="467"/>
      <c r="B322" s="467"/>
      <c r="C322" s="467"/>
      <c r="D322" s="467"/>
      <c r="E322" s="467"/>
      <c r="F322" s="467"/>
      <c r="G322" s="467"/>
    </row>
    <row r="323" spans="1:7">
      <c r="A323" s="467"/>
      <c r="B323" s="467"/>
      <c r="C323" s="467"/>
      <c r="D323" s="467"/>
      <c r="E323" s="467"/>
      <c r="F323" s="467"/>
      <c r="G323" s="467"/>
    </row>
    <row r="324" spans="1:7">
      <c r="A324" s="467"/>
      <c r="B324" s="467"/>
      <c r="C324" s="467"/>
      <c r="D324" s="467"/>
      <c r="E324" s="467"/>
      <c r="F324" s="467"/>
      <c r="G324" s="467"/>
    </row>
    <row r="325" spans="1:7">
      <c r="A325" s="467"/>
      <c r="B325" s="467"/>
      <c r="C325" s="467"/>
      <c r="D325" s="467"/>
      <c r="E325" s="467"/>
      <c r="F325" s="467"/>
      <c r="G325" s="467"/>
    </row>
    <row r="326" spans="1:7">
      <c r="A326" s="467"/>
      <c r="B326" s="467"/>
      <c r="C326" s="467"/>
      <c r="D326" s="467"/>
      <c r="E326" s="467"/>
      <c r="F326" s="467"/>
      <c r="G326" s="467"/>
    </row>
    <row r="327" spans="1:7">
      <c r="A327" s="467"/>
      <c r="B327" s="467"/>
      <c r="C327" s="467"/>
      <c r="D327" s="467"/>
      <c r="E327" s="467"/>
      <c r="F327" s="467"/>
      <c r="G327" s="467"/>
    </row>
    <row r="328" spans="1:7">
      <c r="A328" s="467"/>
      <c r="B328" s="467"/>
      <c r="C328" s="467"/>
      <c r="D328" s="467"/>
      <c r="E328" s="467"/>
      <c r="F328" s="467"/>
      <c r="G328" s="467"/>
    </row>
  </sheetData>
  <mergeCells count="5">
    <mergeCell ref="K9:M9"/>
    <mergeCell ref="A1:G1"/>
    <mergeCell ref="A3:G3"/>
    <mergeCell ref="A5:G5"/>
    <mergeCell ref="D9:G9"/>
  </mergeCells>
  <printOptions horizontalCentered="1"/>
  <pageMargins left="0.9" right="0.7" top="0.75" bottom="0.75" header="0" footer="0.25"/>
  <pageSetup scale="79" orientation="portrait" horizontalDpi="300" verticalDpi="300" r:id="rId1"/>
  <rowBreaks count="2" manualBreakCount="2">
    <brk id="9" max="6" man="1"/>
    <brk id="40" max="6"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1:W54"/>
  <sheetViews>
    <sheetView zoomScaleNormal="100" workbookViewId="0">
      <selection sqref="A1:O1"/>
    </sheetView>
  </sheetViews>
  <sheetFormatPr defaultColWidth="8.88671875" defaultRowHeight="15.75"/>
  <cols>
    <col min="1" max="1" width="23.21875" style="336" customWidth="1"/>
    <col min="2" max="2" width="3.5546875" style="336" customWidth="1"/>
    <col min="3" max="3" width="12.88671875" style="336" customWidth="1"/>
    <col min="4" max="4" width="1.88671875" style="336" customWidth="1"/>
    <col min="5" max="5" width="15.88671875" style="336" customWidth="1"/>
    <col min="6" max="6" width="1.44140625" style="336" customWidth="1"/>
    <col min="7" max="8" width="10.88671875" style="336" customWidth="1"/>
    <col min="9" max="9" width="3.88671875" style="339" customWidth="1"/>
    <col min="10" max="10" width="12.88671875" style="336" customWidth="1"/>
    <col min="11" max="11" width="3.109375" style="336" customWidth="1"/>
    <col min="12" max="12" width="15.88671875" style="336" customWidth="1"/>
    <col min="13" max="13" width="2.88671875" style="336" customWidth="1"/>
    <col min="14" max="15" width="10.88671875" style="336" customWidth="1"/>
    <col min="16" max="21" width="15.6640625" style="336" customWidth="1"/>
    <col min="22" max="22" width="12.77734375" style="336" customWidth="1"/>
    <col min="23" max="16384" width="8.88671875" style="336"/>
  </cols>
  <sheetData>
    <row r="1" spans="1:23">
      <c r="A1" s="974" t="str">
        <f>+'Fly Sheet'!A15:H15</f>
        <v>Consolidated Disposal Services, Inc.</v>
      </c>
      <c r="B1" s="974"/>
      <c r="C1" s="974"/>
      <c r="D1" s="974"/>
      <c r="E1" s="974"/>
      <c r="F1" s="974"/>
      <c r="G1" s="974"/>
      <c r="H1" s="974"/>
      <c r="I1" s="974"/>
      <c r="J1" s="974"/>
      <c r="K1" s="974"/>
      <c r="L1" s="974"/>
      <c r="M1" s="974"/>
      <c r="N1" s="974"/>
      <c r="O1" s="974"/>
    </row>
    <row r="2" spans="1:23">
      <c r="A2" s="337"/>
      <c r="B2" s="338"/>
      <c r="C2" s="338"/>
      <c r="D2" s="338"/>
      <c r="E2" s="338"/>
      <c r="F2" s="338"/>
      <c r="G2" s="338"/>
    </row>
    <row r="3" spans="1:23">
      <c r="A3" s="975" t="s">
        <v>764</v>
      </c>
      <c r="B3" s="975"/>
      <c r="C3" s="975"/>
      <c r="D3" s="975"/>
      <c r="E3" s="975"/>
      <c r="F3" s="975"/>
      <c r="G3" s="975"/>
      <c r="H3" s="975"/>
      <c r="I3" s="975"/>
      <c r="J3" s="975"/>
      <c r="K3" s="975"/>
      <c r="L3" s="975"/>
      <c r="M3" s="975"/>
      <c r="N3" s="975"/>
      <c r="O3" s="975"/>
    </row>
    <row r="4" spans="1:23">
      <c r="A4" s="340"/>
      <c r="B4" s="340"/>
      <c r="C4" s="340"/>
      <c r="D4" s="340"/>
      <c r="E4" s="340"/>
      <c r="F4" s="340"/>
      <c r="G4" s="340"/>
    </row>
    <row r="5" spans="1:23">
      <c r="A5" s="974" t="str">
        <f>'WP-6 - Affiliated '!A5:G5</f>
        <v>In Support of Tariff 8 effective April 1, 2025</v>
      </c>
      <c r="B5" s="974"/>
      <c r="C5" s="974"/>
      <c r="D5" s="974"/>
      <c r="E5" s="974"/>
      <c r="F5" s="974"/>
      <c r="G5" s="974"/>
      <c r="H5" s="974"/>
      <c r="I5" s="974"/>
      <c r="J5" s="974"/>
      <c r="K5" s="974"/>
      <c r="L5" s="974"/>
      <c r="M5" s="974"/>
      <c r="N5" s="974"/>
      <c r="O5" s="974"/>
    </row>
    <row r="6" spans="1:23">
      <c r="I6" s="735"/>
    </row>
    <row r="7" spans="1:23">
      <c r="C7" s="977" t="s">
        <v>803</v>
      </c>
      <c r="D7" s="977"/>
      <c r="E7" s="977"/>
      <c r="F7" s="977"/>
      <c r="G7" s="977"/>
      <c r="H7" s="977"/>
      <c r="J7" s="977" t="s">
        <v>687</v>
      </c>
      <c r="K7" s="977"/>
      <c r="L7" s="977"/>
      <c r="M7" s="977"/>
      <c r="N7" s="977"/>
      <c r="O7" s="977"/>
    </row>
    <row r="8" spans="1:23">
      <c r="A8" s="723"/>
      <c r="B8" s="723"/>
      <c r="C8" s="728" t="s">
        <v>145</v>
      </c>
      <c r="D8" s="728"/>
      <c r="E8" s="729"/>
      <c r="F8" s="730"/>
      <c r="G8" s="978" t="s">
        <v>990</v>
      </c>
      <c r="H8" s="978"/>
      <c r="J8" s="728" t="s">
        <v>145</v>
      </c>
      <c r="K8" s="728"/>
      <c r="L8" s="729"/>
      <c r="M8" s="730"/>
      <c r="N8" s="978" t="s">
        <v>990</v>
      </c>
      <c r="O8" s="978"/>
    </row>
    <row r="9" spans="1:23">
      <c r="A9" s="723"/>
      <c r="B9" s="723"/>
      <c r="C9" s="728" t="s">
        <v>24</v>
      </c>
      <c r="D9" s="728"/>
      <c r="E9" s="731" t="s">
        <v>24</v>
      </c>
      <c r="F9" s="730"/>
      <c r="G9" s="978" t="s">
        <v>124</v>
      </c>
      <c r="H9" s="978"/>
      <c r="I9" s="736"/>
      <c r="J9" s="728" t="s">
        <v>24</v>
      </c>
      <c r="K9" s="728"/>
      <c r="L9" s="731" t="s">
        <v>24</v>
      </c>
      <c r="M9" s="730"/>
      <c r="N9" s="978" t="s">
        <v>124</v>
      </c>
      <c r="O9" s="978"/>
      <c r="P9" s="776"/>
    </row>
    <row r="10" spans="1:23">
      <c r="A10" s="723"/>
      <c r="B10" s="723"/>
      <c r="C10" s="732" t="s">
        <v>88</v>
      </c>
      <c r="D10" s="732"/>
      <c r="E10" s="733" t="s">
        <v>125</v>
      </c>
      <c r="F10" s="734"/>
      <c r="G10" s="976" t="s">
        <v>207</v>
      </c>
      <c r="H10" s="976"/>
      <c r="I10" s="736"/>
      <c r="J10" s="732" t="s">
        <v>88</v>
      </c>
      <c r="K10" s="732"/>
      <c r="L10" s="733" t="s">
        <v>125</v>
      </c>
      <c r="M10" s="734"/>
      <c r="N10" s="976" t="s">
        <v>207</v>
      </c>
      <c r="O10" s="976"/>
      <c r="P10" s="795" t="s">
        <v>877</v>
      </c>
      <c r="Q10" s="795" t="s">
        <v>992</v>
      </c>
      <c r="R10" s="795" t="s">
        <v>993</v>
      </c>
      <c r="S10" s="795" t="s">
        <v>994</v>
      </c>
      <c r="T10" s="795" t="s">
        <v>1031</v>
      </c>
      <c r="V10" s="794" t="s">
        <v>878</v>
      </c>
    </row>
    <row r="11" spans="1:23" ht="15" customHeight="1">
      <c r="A11" s="724">
        <v>44927</v>
      </c>
      <c r="B11" s="723"/>
      <c r="C11" s="761">
        <v>26116.39</v>
      </c>
      <c r="D11" s="723"/>
      <c r="E11" s="765">
        <v>116465.11</v>
      </c>
      <c r="F11" s="723"/>
      <c r="G11" s="739">
        <f>+E11/C11</f>
        <v>4.459464344038361</v>
      </c>
      <c r="H11" s="336" t="s">
        <v>126</v>
      </c>
      <c r="I11" s="735"/>
      <c r="J11" s="766">
        <v>0</v>
      </c>
      <c r="K11" s="723"/>
      <c r="L11" s="585">
        <v>0</v>
      </c>
      <c r="M11" s="723"/>
      <c r="N11" s="739"/>
      <c r="P11" s="761">
        <f>2070+4067.04+1249.75</f>
        <v>7386.79</v>
      </c>
      <c r="Q11" s="761">
        <v>635.24</v>
      </c>
      <c r="R11" s="761">
        <v>1389.01</v>
      </c>
      <c r="S11" s="761">
        <v>7867.34</v>
      </c>
      <c r="T11" s="761">
        <v>20.37</v>
      </c>
      <c r="U11" s="761">
        <f t="shared" ref="U11:U23" si="0">+E11+L11+P11+Q11+R11+S11+T11</f>
        <v>133763.85999999999</v>
      </c>
      <c r="V11" s="742">
        <f>U11-133763.86</f>
        <v>0</v>
      </c>
      <c r="W11" s="726"/>
    </row>
    <row r="12" spans="1:23" ht="15" customHeight="1">
      <c r="A12" s="724">
        <v>44958</v>
      </c>
      <c r="B12" s="723"/>
      <c r="C12" s="761">
        <v>9587.7000000000007</v>
      </c>
      <c r="D12" s="723"/>
      <c r="E12" s="765">
        <v>42630.73</v>
      </c>
      <c r="F12" s="723"/>
      <c r="G12" s="739">
        <f t="shared" ref="G12:G22" si="1">+E12/C12</f>
        <v>4.4463979890901886</v>
      </c>
      <c r="H12" s="336" t="s">
        <v>126</v>
      </c>
      <c r="I12" s="735"/>
      <c r="J12" s="766">
        <v>0</v>
      </c>
      <c r="K12" s="723"/>
      <c r="L12" s="585">
        <v>0</v>
      </c>
      <c r="M12" s="723"/>
      <c r="N12" s="739"/>
      <c r="P12" s="761">
        <f>630+2505.28+1272.89</f>
        <v>4408.17</v>
      </c>
      <c r="Q12" s="761">
        <v>500.87</v>
      </c>
      <c r="R12" s="761">
        <v>0</v>
      </c>
      <c r="S12" s="761">
        <v>2253.64</v>
      </c>
      <c r="T12" s="761">
        <f>25+37.96</f>
        <v>62.96</v>
      </c>
      <c r="U12" s="761">
        <f t="shared" si="0"/>
        <v>49856.37</v>
      </c>
      <c r="V12" s="742">
        <f>U12-49850.47</f>
        <v>5.9000000000014552</v>
      </c>
      <c r="W12" s="741" t="s">
        <v>1032</v>
      </c>
    </row>
    <row r="13" spans="1:23" ht="15" customHeight="1">
      <c r="A13" s="724">
        <v>44986</v>
      </c>
      <c r="B13" s="723"/>
      <c r="C13" s="761">
        <v>22336.2</v>
      </c>
      <c r="D13" s="723"/>
      <c r="E13" s="765">
        <v>96619.47</v>
      </c>
      <c r="F13" s="723"/>
      <c r="G13" s="739">
        <f t="shared" si="1"/>
        <v>4.3256896875923392</v>
      </c>
      <c r="H13" s="336" t="s">
        <v>126</v>
      </c>
      <c r="I13" s="737"/>
      <c r="J13" s="766">
        <v>0</v>
      </c>
      <c r="K13" s="723"/>
      <c r="L13" s="585">
        <v>0</v>
      </c>
      <c r="M13" s="723"/>
      <c r="N13" s="739"/>
      <c r="P13" s="761">
        <v>3005</v>
      </c>
      <c r="Q13" s="761">
        <v>716.49</v>
      </c>
      <c r="R13" s="761">
        <v>0</v>
      </c>
      <c r="S13" s="761">
        <f>20.85-451.1-334.18-148.51-113.17</f>
        <v>-1026.1100000000001</v>
      </c>
      <c r="T13" s="761">
        <v>0</v>
      </c>
      <c r="U13" s="761">
        <f t="shared" si="0"/>
        <v>99314.85</v>
      </c>
      <c r="V13" s="742">
        <f>U13-99314.85</f>
        <v>0</v>
      </c>
    </row>
    <row r="14" spans="1:23" ht="15" customHeight="1">
      <c r="A14" s="724">
        <v>45017</v>
      </c>
      <c r="B14" s="723"/>
      <c r="C14" s="761">
        <v>20870.89</v>
      </c>
      <c r="D14" s="723"/>
      <c r="E14" s="765">
        <v>89841.52</v>
      </c>
      <c r="F14" s="723"/>
      <c r="G14" s="739">
        <f t="shared" si="1"/>
        <v>4.3046329121565972</v>
      </c>
      <c r="H14" s="336" t="s">
        <v>126</v>
      </c>
      <c r="I14" s="737"/>
      <c r="J14" s="766">
        <v>1700</v>
      </c>
      <c r="K14" s="723"/>
      <c r="L14" s="585">
        <v>6913.9</v>
      </c>
      <c r="M14" s="723"/>
      <c r="N14" s="739">
        <f>+L14/J14</f>
        <v>4.0670000000000002</v>
      </c>
      <c r="O14" s="336" t="s">
        <v>126</v>
      </c>
      <c r="P14" s="761">
        <v>3979.77</v>
      </c>
      <c r="Q14" s="761">
        <v>114.32</v>
      </c>
      <c r="R14" s="761">
        <v>0</v>
      </c>
      <c r="S14" s="761">
        <f>2253.64+7867.34</f>
        <v>10120.98</v>
      </c>
      <c r="T14" s="761">
        <v>0</v>
      </c>
      <c r="U14" s="761">
        <f t="shared" si="0"/>
        <v>110970.49</v>
      </c>
      <c r="V14" s="742">
        <f>U14-110970.49</f>
        <v>0</v>
      </c>
    </row>
    <row r="15" spans="1:23" ht="15" customHeight="1">
      <c r="A15" s="724">
        <v>45047</v>
      </c>
      <c r="B15" s="723"/>
      <c r="C15" s="577">
        <v>22493.43</v>
      </c>
      <c r="D15" s="723"/>
      <c r="E15" s="790">
        <v>94543.93</v>
      </c>
      <c r="F15" s="723"/>
      <c r="G15" s="739">
        <f t="shared" si="1"/>
        <v>4.2031797729381424</v>
      </c>
      <c r="H15" s="336" t="s">
        <v>126</v>
      </c>
      <c r="I15" s="737"/>
      <c r="J15" s="766">
        <v>0</v>
      </c>
      <c r="K15" s="723"/>
      <c r="L15" s="585">
        <v>0</v>
      </c>
      <c r="M15" s="723"/>
      <c r="N15" s="739"/>
      <c r="P15" s="761">
        <v>3578.66</v>
      </c>
      <c r="Q15" s="761">
        <v>345.93</v>
      </c>
      <c r="R15" s="761">
        <v>0</v>
      </c>
      <c r="S15" s="761">
        <v>0</v>
      </c>
      <c r="T15" s="761">
        <v>-60</v>
      </c>
      <c r="U15" s="761">
        <f t="shared" si="0"/>
        <v>98408.51999999999</v>
      </c>
      <c r="V15" s="742">
        <f>U15-98408.52</f>
        <v>0</v>
      </c>
    </row>
    <row r="16" spans="1:23" ht="15" customHeight="1">
      <c r="A16" s="724">
        <v>45078</v>
      </c>
      <c r="B16" s="723"/>
      <c r="C16" s="761">
        <v>21898.38</v>
      </c>
      <c r="D16" s="723"/>
      <c r="E16" s="765">
        <v>92142.51</v>
      </c>
      <c r="F16" s="723"/>
      <c r="G16" s="739">
        <f t="shared" si="1"/>
        <v>4.2077318048184384</v>
      </c>
      <c r="H16" s="336" t="s">
        <v>126</v>
      </c>
      <c r="I16" s="737"/>
      <c r="J16" s="766">
        <v>0</v>
      </c>
      <c r="K16" s="723"/>
      <c r="L16" s="585">
        <v>0</v>
      </c>
      <c r="M16" s="723"/>
      <c r="N16" s="739"/>
      <c r="P16" s="761">
        <v>3988.65</v>
      </c>
      <c r="Q16" s="761">
        <v>169.19</v>
      </c>
      <c r="R16" s="761">
        <v>0</v>
      </c>
      <c r="S16" s="761">
        <v>7867.34</v>
      </c>
      <c r="T16" s="761">
        <v>-135</v>
      </c>
      <c r="U16" s="761">
        <f t="shared" si="0"/>
        <v>104032.68999999999</v>
      </c>
      <c r="V16" s="742">
        <f>U16-104032.69</f>
        <v>0</v>
      </c>
    </row>
    <row r="17" spans="1:23" ht="15" customHeight="1">
      <c r="A17" s="724">
        <v>45108</v>
      </c>
      <c r="B17" s="723"/>
      <c r="C17" s="761">
        <v>12332.91</v>
      </c>
      <c r="D17" s="723"/>
      <c r="E17" s="765">
        <v>48559.61</v>
      </c>
      <c r="F17" s="723"/>
      <c r="G17" s="739">
        <f t="shared" si="1"/>
        <v>3.9374008242985639</v>
      </c>
      <c r="H17" s="336" t="s">
        <v>126</v>
      </c>
      <c r="I17" s="737"/>
      <c r="J17" s="766">
        <v>0</v>
      </c>
      <c r="K17" s="723"/>
      <c r="L17" s="585">
        <v>0</v>
      </c>
      <c r="M17" s="723"/>
      <c r="N17" s="739"/>
      <c r="P17" s="761">
        <v>1089.3800000000001</v>
      </c>
      <c r="Q17" s="761">
        <v>104.91</v>
      </c>
      <c r="R17" s="761">
        <v>0</v>
      </c>
      <c r="S17" s="761">
        <v>-1446.75</v>
      </c>
      <c r="T17" s="761">
        <v>0</v>
      </c>
      <c r="U17" s="761">
        <f t="shared" si="0"/>
        <v>48307.15</v>
      </c>
      <c r="V17" s="742">
        <f>U17-48307.15</f>
        <v>0</v>
      </c>
    </row>
    <row r="18" spans="1:23" ht="15" customHeight="1">
      <c r="A18" s="724">
        <v>45139</v>
      </c>
      <c r="B18" s="723"/>
      <c r="C18" s="761">
        <v>22226.81</v>
      </c>
      <c r="D18" s="723"/>
      <c r="E18" s="765">
        <v>111491.86</v>
      </c>
      <c r="F18" s="723"/>
      <c r="G18" s="739">
        <f t="shared" si="1"/>
        <v>5.0160981265417748</v>
      </c>
      <c r="H18" s="336" t="s">
        <v>126</v>
      </c>
      <c r="I18" s="737"/>
      <c r="J18" s="766">
        <v>0</v>
      </c>
      <c r="K18" s="723"/>
      <c r="L18" s="585">
        <v>0</v>
      </c>
      <c r="M18" s="723"/>
      <c r="N18" s="739"/>
      <c r="P18" s="761">
        <v>2884.95</v>
      </c>
      <c r="Q18" s="761">
        <v>358.77</v>
      </c>
      <c r="R18" s="761">
        <v>0</v>
      </c>
      <c r="S18" s="761">
        <v>7867.34</v>
      </c>
      <c r="T18" s="761">
        <v>59.1</v>
      </c>
      <c r="U18" s="761">
        <f t="shared" si="0"/>
        <v>122662.02</v>
      </c>
      <c r="V18" s="742">
        <f>U18-122662.02</f>
        <v>0</v>
      </c>
    </row>
    <row r="19" spans="1:23" ht="15" customHeight="1">
      <c r="A19" s="724">
        <v>45170</v>
      </c>
      <c r="B19" s="723"/>
      <c r="C19" s="761">
        <v>22315.74</v>
      </c>
      <c r="D19" s="723"/>
      <c r="E19" s="765">
        <v>116450.49</v>
      </c>
      <c r="F19" s="723"/>
      <c r="G19" s="739">
        <f t="shared" si="1"/>
        <v>5.2183118283328271</v>
      </c>
      <c r="H19" s="336" t="s">
        <v>126</v>
      </c>
      <c r="I19" s="737"/>
      <c r="J19" s="766">
        <v>0</v>
      </c>
      <c r="K19" s="723"/>
      <c r="L19" s="585">
        <v>0</v>
      </c>
      <c r="M19" s="723"/>
      <c r="N19" s="739"/>
      <c r="P19" s="761">
        <v>2259.41</v>
      </c>
      <c r="Q19" s="761">
        <v>471.12</v>
      </c>
      <c r="R19" s="761">
        <v>0</v>
      </c>
      <c r="S19" s="761">
        <v>0</v>
      </c>
      <c r="T19" s="761">
        <v>-665.9</v>
      </c>
      <c r="U19" s="761">
        <f t="shared" si="0"/>
        <v>118515.12000000001</v>
      </c>
      <c r="V19" s="742">
        <f>U19-9654.31</f>
        <v>108860.81000000001</v>
      </c>
      <c r="W19" s="741" t="s">
        <v>1033</v>
      </c>
    </row>
    <row r="20" spans="1:23" ht="15" customHeight="1">
      <c r="A20" s="724">
        <v>45200</v>
      </c>
      <c r="B20" s="723"/>
      <c r="C20" s="762">
        <v>22322.05</v>
      </c>
      <c r="D20" s="745"/>
      <c r="E20" s="765">
        <v>102569.23</v>
      </c>
      <c r="F20" s="723"/>
      <c r="G20" s="739">
        <f t="shared" si="1"/>
        <v>4.5949735799355347</v>
      </c>
      <c r="H20" s="336" t="s">
        <v>126</v>
      </c>
      <c r="I20" s="737"/>
      <c r="J20" s="766">
        <v>0</v>
      </c>
      <c r="K20" s="745"/>
      <c r="L20" s="585">
        <v>0</v>
      </c>
      <c r="M20" s="723"/>
      <c r="N20" s="739"/>
      <c r="P20" s="761">
        <f>420+431.43</f>
        <v>851.43000000000006</v>
      </c>
      <c r="Q20" s="761">
        <v>627.41999999999996</v>
      </c>
      <c r="R20" s="761">
        <v>0</v>
      </c>
      <c r="S20" s="761">
        <v>0</v>
      </c>
      <c r="T20" s="793">
        <v>1632.91</v>
      </c>
      <c r="U20" s="761">
        <f t="shared" si="0"/>
        <v>105680.98999999999</v>
      </c>
      <c r="V20" s="742">
        <f>U20-214541.8</f>
        <v>-108860.81</v>
      </c>
      <c r="W20" s="741" t="s">
        <v>1033</v>
      </c>
    </row>
    <row r="21" spans="1:23" ht="15" customHeight="1">
      <c r="A21" s="724">
        <v>45231</v>
      </c>
      <c r="B21" s="723"/>
      <c r="C21" s="762">
        <v>22352.41</v>
      </c>
      <c r="D21" s="745"/>
      <c r="E21" s="765">
        <v>99134.6</v>
      </c>
      <c r="F21" s="723"/>
      <c r="G21" s="739">
        <f t="shared" si="1"/>
        <v>4.4350743387402076</v>
      </c>
      <c r="H21" s="336" t="s">
        <v>126</v>
      </c>
      <c r="I21" s="737"/>
      <c r="J21" s="766">
        <v>0</v>
      </c>
      <c r="K21" s="745"/>
      <c r="L21" s="585">
        <v>0</v>
      </c>
      <c r="M21" s="723"/>
      <c r="N21" s="739"/>
      <c r="P21" s="761">
        <f>1020+3555.85</f>
        <v>4575.8500000000004</v>
      </c>
      <c r="Q21" s="761">
        <v>445.25</v>
      </c>
      <c r="R21" s="761">
        <v>0</v>
      </c>
      <c r="S21" s="761">
        <v>2253.64</v>
      </c>
      <c r="T21" s="761">
        <v>0</v>
      </c>
      <c r="U21" s="761">
        <f t="shared" si="0"/>
        <v>106409.34000000001</v>
      </c>
      <c r="V21" s="742">
        <f>U21-106409.34</f>
        <v>0</v>
      </c>
    </row>
    <row r="22" spans="1:23" ht="15" customHeight="1">
      <c r="A22" s="724">
        <v>45261</v>
      </c>
      <c r="B22" s="723"/>
      <c r="C22" s="763">
        <v>11883.98</v>
      </c>
      <c r="D22" s="745"/>
      <c r="E22" s="765">
        <v>48838.33</v>
      </c>
      <c r="F22" s="723"/>
      <c r="G22" s="739">
        <f t="shared" si="1"/>
        <v>4.1095937556273237</v>
      </c>
      <c r="H22" s="336" t="s">
        <v>126</v>
      </c>
      <c r="I22" s="738"/>
      <c r="J22" s="767">
        <v>0</v>
      </c>
      <c r="K22" s="745"/>
      <c r="L22" s="585">
        <v>0</v>
      </c>
      <c r="M22" s="723"/>
      <c r="N22" s="739"/>
      <c r="P22" s="777">
        <f>420+1359.01</f>
        <v>1779.01</v>
      </c>
      <c r="Q22" s="777">
        <v>264.88</v>
      </c>
      <c r="R22" s="777">
        <v>868.77</v>
      </c>
      <c r="S22" s="777">
        <v>7867.34</v>
      </c>
      <c r="T22" s="777">
        <v>-152.5</v>
      </c>
      <c r="U22" s="777">
        <f t="shared" si="0"/>
        <v>59465.83</v>
      </c>
      <c r="V22" s="742">
        <f>U22-59464.83</f>
        <v>1</v>
      </c>
      <c r="W22" s="741" t="s">
        <v>1033</v>
      </c>
    </row>
    <row r="23" spans="1:23" ht="16.5" thickBot="1">
      <c r="C23" s="764">
        <f>SUM(C11:C22)</f>
        <v>236736.88999999998</v>
      </c>
      <c r="E23" s="726">
        <f>SUM(E11:E22)</f>
        <v>1059287.3899999999</v>
      </c>
      <c r="I23" s="727"/>
      <c r="J23" s="768">
        <f>SUM(J11:J22)</f>
        <v>1700</v>
      </c>
      <c r="L23" s="726">
        <f>SUM(L11:L22)</f>
        <v>6913.9</v>
      </c>
      <c r="P23" s="761">
        <f>SUM(P11:P22)</f>
        <v>39787.07</v>
      </c>
      <c r="Q23" s="761">
        <f t="shared" ref="Q23:T23" si="2">SUM(Q11:Q22)</f>
        <v>4754.3900000000003</v>
      </c>
      <c r="R23" s="761">
        <f t="shared" si="2"/>
        <v>2257.7799999999997</v>
      </c>
      <c r="S23" s="761">
        <f t="shared" si="2"/>
        <v>43624.759999999995</v>
      </c>
      <c r="T23" s="761">
        <f t="shared" si="2"/>
        <v>761.94</v>
      </c>
      <c r="U23" s="761">
        <f t="shared" si="0"/>
        <v>1157387.2299999997</v>
      </c>
    </row>
    <row r="24" spans="1:23" ht="16.5" thickTop="1">
      <c r="C24" s="725"/>
      <c r="E24" s="726"/>
      <c r="I24" s="727"/>
      <c r="J24" s="726"/>
      <c r="U24" s="789">
        <f>+'IS-PBC'!O127+'IS-PBC'!O128</f>
        <v>1157380.33</v>
      </c>
    </row>
    <row r="25" spans="1:23">
      <c r="C25" s="728" t="s">
        <v>232</v>
      </c>
      <c r="E25" s="726"/>
      <c r="G25" s="978" t="s">
        <v>991</v>
      </c>
      <c r="H25" s="978"/>
      <c r="I25" s="727"/>
      <c r="J25" s="728" t="s">
        <v>232</v>
      </c>
      <c r="N25" s="978" t="s">
        <v>991</v>
      </c>
      <c r="O25" s="978"/>
      <c r="U25" s="726">
        <f>+U23-U24</f>
        <v>6.8999999996740371</v>
      </c>
      <c r="V25" s="336" t="s">
        <v>1030</v>
      </c>
    </row>
    <row r="26" spans="1:23">
      <c r="C26" s="728" t="s">
        <v>24</v>
      </c>
      <c r="E26" s="731" t="s">
        <v>24</v>
      </c>
      <c r="G26" s="978" t="s">
        <v>124</v>
      </c>
      <c r="H26" s="978"/>
      <c r="I26" s="727"/>
      <c r="J26" s="728" t="s">
        <v>24</v>
      </c>
      <c r="L26" s="731" t="s">
        <v>24</v>
      </c>
      <c r="N26" s="978" t="s">
        <v>124</v>
      </c>
      <c r="O26" s="978"/>
    </row>
    <row r="27" spans="1:23">
      <c r="C27" s="732" t="s">
        <v>88</v>
      </c>
      <c r="E27" s="733" t="s">
        <v>125</v>
      </c>
      <c r="G27" s="976" t="s">
        <v>207</v>
      </c>
      <c r="H27" s="976"/>
      <c r="I27" s="727"/>
      <c r="J27" s="732" t="s">
        <v>88</v>
      </c>
      <c r="L27" s="733" t="s">
        <v>125</v>
      </c>
      <c r="N27" s="976" t="s">
        <v>207</v>
      </c>
      <c r="O27" s="976"/>
      <c r="P27" s="795" t="s">
        <v>877</v>
      </c>
      <c r="Q27" s="795" t="s">
        <v>992</v>
      </c>
      <c r="R27" s="795" t="s">
        <v>993</v>
      </c>
      <c r="S27" s="795" t="s">
        <v>994</v>
      </c>
      <c r="T27" s="795" t="s">
        <v>1031</v>
      </c>
    </row>
    <row r="28" spans="1:23">
      <c r="A28" s="724">
        <v>45292</v>
      </c>
      <c r="C28" s="378">
        <v>21703.78</v>
      </c>
      <c r="D28" s="791"/>
      <c r="E28" s="792">
        <v>83856.929999999993</v>
      </c>
      <c r="G28" s="739">
        <f>+E28/C28</f>
        <v>3.8637016224823508</v>
      </c>
      <c r="H28" s="336" t="s">
        <v>126</v>
      </c>
      <c r="I28" s="727"/>
      <c r="J28" s="726">
        <v>0</v>
      </c>
      <c r="L28" s="726">
        <v>0</v>
      </c>
      <c r="N28" s="739"/>
      <c r="P28" s="761">
        <f>1050+4476.11</f>
        <v>5526.11</v>
      </c>
      <c r="Q28" s="761">
        <v>594.97</v>
      </c>
      <c r="R28" s="761">
        <v>0</v>
      </c>
      <c r="S28" s="761">
        <v>7867.34</v>
      </c>
      <c r="T28" s="761">
        <v>175</v>
      </c>
      <c r="U28" s="761">
        <f>+E28+L28+P28+Q28+R28+S28+T28</f>
        <v>98020.349999999991</v>
      </c>
      <c r="V28" s="588">
        <f>U28-98021.35</f>
        <v>-1.0000000000145519</v>
      </c>
      <c r="W28" s="741" t="s">
        <v>1033</v>
      </c>
    </row>
    <row r="29" spans="1:23">
      <c r="A29" s="724">
        <v>45323</v>
      </c>
      <c r="C29" s="769">
        <v>22013.07</v>
      </c>
      <c r="E29" s="726">
        <v>82559.179999999993</v>
      </c>
      <c r="G29" s="739">
        <f t="shared" ref="G29:G39" si="3">+E29/C29</f>
        <v>3.7504618846894138</v>
      </c>
      <c r="H29" s="336" t="s">
        <v>126</v>
      </c>
      <c r="I29" s="727"/>
      <c r="J29" s="726">
        <v>3000</v>
      </c>
      <c r="L29" s="726">
        <v>9774</v>
      </c>
      <c r="N29" s="739">
        <f t="shared" ref="N29:N36" si="4">+L29/J29</f>
        <v>3.258</v>
      </c>
      <c r="O29" s="336" t="s">
        <v>126</v>
      </c>
      <c r="P29" s="761">
        <f>540+2520.33</f>
        <v>3060.33</v>
      </c>
      <c r="Q29" s="761">
        <v>883.81</v>
      </c>
      <c r="R29" s="761">
        <v>579.9</v>
      </c>
      <c r="S29" s="761">
        <v>0</v>
      </c>
      <c r="T29" s="761">
        <v>105</v>
      </c>
      <c r="U29" s="761">
        <f t="shared" ref="U29:U38" si="5">+E29+L29+P29+Q29+R29+S29+T29</f>
        <v>96962.219999999987</v>
      </c>
      <c r="V29" s="588">
        <f>U29-96962.22</f>
        <v>0</v>
      </c>
    </row>
    <row r="30" spans="1:23">
      <c r="A30" s="724">
        <v>45352</v>
      </c>
      <c r="C30" s="769">
        <v>12466.27</v>
      </c>
      <c r="E30" s="726">
        <v>49555.92</v>
      </c>
      <c r="G30" s="739">
        <f t="shared" si="3"/>
        <v>3.9752002804367303</v>
      </c>
      <c r="H30" s="336" t="s">
        <v>126</v>
      </c>
      <c r="I30" s="727"/>
      <c r="J30" s="726">
        <v>0</v>
      </c>
      <c r="L30" s="726">
        <v>0</v>
      </c>
      <c r="N30" s="739"/>
      <c r="P30" s="761">
        <v>0</v>
      </c>
      <c r="Q30" s="761">
        <v>257.04000000000002</v>
      </c>
      <c r="R30" s="761">
        <v>0</v>
      </c>
      <c r="S30" s="761">
        <f>7867.34+635.94</f>
        <v>8503.2800000000007</v>
      </c>
      <c r="T30" s="761">
        <v>192.58</v>
      </c>
      <c r="U30" s="761">
        <f t="shared" si="5"/>
        <v>58508.82</v>
      </c>
      <c r="V30" s="588">
        <f>U30-58508.82</f>
        <v>0</v>
      </c>
    </row>
    <row r="31" spans="1:23">
      <c r="A31" s="724">
        <v>45383</v>
      </c>
      <c r="C31" s="769">
        <v>24957.7</v>
      </c>
      <c r="E31" s="726">
        <v>102769.69</v>
      </c>
      <c r="G31" s="739">
        <f t="shared" si="3"/>
        <v>4.1177548411912959</v>
      </c>
      <c r="H31" s="336" t="s">
        <v>126</v>
      </c>
      <c r="I31" s="727"/>
      <c r="J31" s="726">
        <v>0</v>
      </c>
      <c r="L31" s="726">
        <v>0</v>
      </c>
      <c r="N31" s="739"/>
      <c r="P31" s="761">
        <v>5600.81</v>
      </c>
      <c r="Q31" s="761">
        <v>576.02</v>
      </c>
      <c r="R31" s="761">
        <v>0</v>
      </c>
      <c r="S31" s="761">
        <v>0</v>
      </c>
      <c r="T31" s="761">
        <v>97.92</v>
      </c>
      <c r="U31" s="761">
        <f t="shared" si="5"/>
        <v>109044.44</v>
      </c>
      <c r="V31" s="588">
        <f>U31-108998.5</f>
        <v>45.940000000002328</v>
      </c>
      <c r="W31" s="741" t="s">
        <v>1032</v>
      </c>
    </row>
    <row r="32" spans="1:23">
      <c r="A32" s="724">
        <v>45413</v>
      </c>
      <c r="C32" s="769">
        <v>22283.72</v>
      </c>
      <c r="E32" s="726">
        <v>87762.07</v>
      </c>
      <c r="G32" s="739">
        <f t="shared" si="3"/>
        <v>3.9383940383383025</v>
      </c>
      <c r="H32" s="336" t="s">
        <v>126</v>
      </c>
      <c r="I32" s="727"/>
      <c r="J32" s="726">
        <v>0</v>
      </c>
      <c r="L32" s="726">
        <v>0</v>
      </c>
      <c r="N32" s="739"/>
      <c r="P32" s="761">
        <v>426.18</v>
      </c>
      <c r="Q32" s="761">
        <v>416.95</v>
      </c>
      <c r="R32" s="761">
        <v>0</v>
      </c>
      <c r="S32" s="761">
        <v>10030.84</v>
      </c>
      <c r="T32" s="761">
        <v>98.91</v>
      </c>
      <c r="U32" s="761">
        <f t="shared" si="5"/>
        <v>98734.95</v>
      </c>
      <c r="V32" s="588">
        <f>U32-98734.95</f>
        <v>0</v>
      </c>
    </row>
    <row r="33" spans="1:23">
      <c r="A33" s="724">
        <v>45444</v>
      </c>
      <c r="C33" s="769">
        <v>22040.03</v>
      </c>
      <c r="E33" s="726">
        <v>86856.55</v>
      </c>
      <c r="G33" s="739">
        <f t="shared" si="3"/>
        <v>3.9408544362235447</v>
      </c>
      <c r="H33" s="336" t="s">
        <v>126</v>
      </c>
      <c r="I33" s="727"/>
      <c r="J33" s="726">
        <v>0</v>
      </c>
      <c r="L33" s="726">
        <v>0</v>
      </c>
      <c r="N33" s="739"/>
      <c r="P33" s="761">
        <v>5616.87</v>
      </c>
      <c r="Q33" s="761">
        <v>326.41000000000003</v>
      </c>
      <c r="R33" s="761">
        <v>0</v>
      </c>
      <c r="S33" s="761">
        <v>0</v>
      </c>
      <c r="T33" s="761">
        <v>323.93</v>
      </c>
      <c r="U33" s="761">
        <f t="shared" si="5"/>
        <v>93123.76</v>
      </c>
      <c r="V33" s="588">
        <f>U33-93123.76</f>
        <v>0</v>
      </c>
    </row>
    <row r="34" spans="1:23">
      <c r="A34" s="724">
        <v>45474</v>
      </c>
      <c r="C34" s="769">
        <v>20967.28</v>
      </c>
      <c r="E34" s="726">
        <v>81469.279999999999</v>
      </c>
      <c r="G34" s="739">
        <f t="shared" si="3"/>
        <v>3.8855435707445127</v>
      </c>
      <c r="H34" s="336" t="s">
        <v>126</v>
      </c>
      <c r="I34" s="727"/>
      <c r="J34" s="726">
        <v>1300</v>
      </c>
      <c r="L34" s="726">
        <v>4581.2</v>
      </c>
      <c r="N34" s="739">
        <f t="shared" si="4"/>
        <v>3.524</v>
      </c>
      <c r="O34" s="336" t="s">
        <v>126</v>
      </c>
      <c r="P34" s="761">
        <v>533.59</v>
      </c>
      <c r="Q34" s="761">
        <v>0</v>
      </c>
      <c r="R34" s="761">
        <v>0</v>
      </c>
      <c r="S34" s="761">
        <v>9506.3700000000008</v>
      </c>
      <c r="T34" s="761">
        <v>0</v>
      </c>
      <c r="U34" s="761">
        <f t="shared" si="5"/>
        <v>96090.439999999988</v>
      </c>
      <c r="V34" s="588">
        <f>U34-91192.06</f>
        <v>4898.3799999999901</v>
      </c>
      <c r="W34" s="741" t="s">
        <v>1033</v>
      </c>
    </row>
    <row r="35" spans="1:23">
      <c r="A35" s="724">
        <v>45505</v>
      </c>
      <c r="C35" s="769">
        <v>12615.08</v>
      </c>
      <c r="E35" s="726">
        <v>49023.99</v>
      </c>
      <c r="G35" s="739">
        <f t="shared" si="3"/>
        <v>3.8861418239123333</v>
      </c>
      <c r="H35" s="336" t="s">
        <v>126</v>
      </c>
      <c r="I35" s="727"/>
      <c r="J35" s="726">
        <v>0</v>
      </c>
      <c r="L35" s="726">
        <v>0</v>
      </c>
      <c r="N35" s="739"/>
      <c r="P35" s="761">
        <v>3402.48</v>
      </c>
      <c r="Q35" s="761">
        <v>83.29</v>
      </c>
      <c r="R35" s="761">
        <v>0</v>
      </c>
      <c r="S35" s="761">
        <v>0</v>
      </c>
      <c r="T35" s="761">
        <v>0.91</v>
      </c>
      <c r="U35" s="761">
        <f t="shared" si="5"/>
        <v>52510.670000000006</v>
      </c>
      <c r="V35" s="588">
        <f>U35-57409.05</f>
        <v>-4898.3799999999974</v>
      </c>
      <c r="W35" s="741" t="s">
        <v>1033</v>
      </c>
    </row>
    <row r="36" spans="1:23">
      <c r="A36" s="724">
        <v>45536</v>
      </c>
      <c r="C36" s="769">
        <v>24867.51</v>
      </c>
      <c r="E36" s="726">
        <v>91151.73</v>
      </c>
      <c r="G36" s="739">
        <f t="shared" si="3"/>
        <v>3.6654948565417285</v>
      </c>
      <c r="H36" s="336" t="s">
        <v>126</v>
      </c>
      <c r="I36" s="727"/>
      <c r="J36" s="726">
        <v>3.1</v>
      </c>
      <c r="L36" s="726">
        <v>11.66</v>
      </c>
      <c r="N36" s="739">
        <f t="shared" si="4"/>
        <v>3.7612903225806451</v>
      </c>
      <c r="O36" s="336" t="s">
        <v>126</v>
      </c>
      <c r="P36" s="761">
        <v>1146.23</v>
      </c>
      <c r="Q36" s="761">
        <v>180.25</v>
      </c>
      <c r="R36" s="761">
        <v>0</v>
      </c>
      <c r="S36" s="761">
        <v>7867.34</v>
      </c>
      <c r="T36" s="761">
        <v>288.18</v>
      </c>
      <c r="U36" s="761">
        <f t="shared" si="5"/>
        <v>100645.38999999998</v>
      </c>
      <c r="V36" s="588">
        <f>U36-100645.39</f>
        <v>0</v>
      </c>
    </row>
    <row r="37" spans="1:23">
      <c r="A37" s="724">
        <v>45566</v>
      </c>
      <c r="C37" s="378">
        <v>22077.94</v>
      </c>
      <c r="E37" s="792">
        <v>87063.82</v>
      </c>
      <c r="G37" s="739">
        <f t="shared" si="3"/>
        <v>3.9434757047079581</v>
      </c>
      <c r="H37" s="336" t="s">
        <v>126</v>
      </c>
      <c r="I37" s="727"/>
      <c r="J37" s="726">
        <v>0</v>
      </c>
      <c r="L37" s="726">
        <v>0</v>
      </c>
      <c r="N37" s="739"/>
      <c r="P37" s="761">
        <f>455+3963.33</f>
        <v>4418.33</v>
      </c>
      <c r="Q37" s="761">
        <v>547.16</v>
      </c>
      <c r="R37" s="761">
        <v>0</v>
      </c>
      <c r="S37" s="761">
        <v>0</v>
      </c>
      <c r="T37" s="761">
        <v>506</v>
      </c>
      <c r="U37" s="761">
        <f t="shared" si="5"/>
        <v>92535.310000000012</v>
      </c>
      <c r="V37" s="588">
        <f>U37-92535.31</f>
        <v>0</v>
      </c>
    </row>
    <row r="38" spans="1:23">
      <c r="A38" s="724">
        <v>45597</v>
      </c>
      <c r="C38" s="769">
        <v>22290.94</v>
      </c>
      <c r="E38" s="726">
        <v>86320.59</v>
      </c>
      <c r="G38" s="739">
        <f t="shared" si="3"/>
        <v>3.8724517673996699</v>
      </c>
      <c r="H38" s="336" t="s">
        <v>126</v>
      </c>
      <c r="I38" s="727"/>
      <c r="J38" s="726">
        <v>0</v>
      </c>
      <c r="L38" s="726">
        <v>0</v>
      </c>
      <c r="N38" s="739"/>
      <c r="P38" s="761">
        <f>910+3427.53</f>
        <v>4337.5300000000007</v>
      </c>
      <c r="Q38" s="761">
        <v>241.18</v>
      </c>
      <c r="R38" s="761">
        <v>0</v>
      </c>
      <c r="S38" s="761">
        <v>0</v>
      </c>
      <c r="T38" s="761">
        <v>102.79</v>
      </c>
      <c r="U38" s="761">
        <f t="shared" si="5"/>
        <v>91002.089999999982</v>
      </c>
      <c r="V38" s="588">
        <f>U38-91002.09</f>
        <v>0</v>
      </c>
    </row>
    <row r="39" spans="1:23">
      <c r="A39" s="720">
        <v>45627</v>
      </c>
      <c r="B39" s="719"/>
      <c r="C39" s="801">
        <v>12313.92</v>
      </c>
      <c r="D39" s="719"/>
      <c r="E39" s="802">
        <v>45093.85</v>
      </c>
      <c r="F39" s="719"/>
      <c r="G39" s="721">
        <f t="shared" si="3"/>
        <v>3.6620223292014238</v>
      </c>
      <c r="H39" s="719" t="s">
        <v>126</v>
      </c>
      <c r="I39" s="796"/>
      <c r="J39" s="797">
        <v>0</v>
      </c>
      <c r="K39" s="719"/>
      <c r="L39" s="722">
        <v>0</v>
      </c>
      <c r="M39" s="719"/>
      <c r="N39" s="721"/>
      <c r="O39" s="719"/>
      <c r="P39" s="798">
        <f>490+499.15</f>
        <v>989.15</v>
      </c>
      <c r="Q39" s="798">
        <v>0</v>
      </c>
      <c r="R39" s="798">
        <v>0</v>
      </c>
      <c r="S39" s="798">
        <v>9506.3700000000008</v>
      </c>
      <c r="T39" s="798">
        <v>62.66</v>
      </c>
      <c r="U39" s="798">
        <f>+E39+L39+P39+Q39+R39+S39+T39</f>
        <v>55652.030000000006</v>
      </c>
      <c r="V39" s="788">
        <f>U39-20285.48</f>
        <v>35366.550000000003</v>
      </c>
      <c r="W39" s="741" t="s">
        <v>1094</v>
      </c>
    </row>
    <row r="40" spans="1:23" ht="16.5" thickBot="1">
      <c r="A40" s="724"/>
      <c r="C40" s="764">
        <f>SUM(C28:C39)</f>
        <v>240597.24</v>
      </c>
      <c r="E40" s="726">
        <f>SUM(E28:E39)</f>
        <v>933483.59999999986</v>
      </c>
      <c r="G40" s="739"/>
      <c r="I40" s="727"/>
      <c r="J40" s="726">
        <f>SUM(J28:J39)</f>
        <v>4303.1000000000004</v>
      </c>
      <c r="N40" s="739"/>
      <c r="P40" s="726">
        <f>SUM(P28:P39)</f>
        <v>35057.61</v>
      </c>
      <c r="Q40" s="726">
        <f t="shared" ref="Q40:T40" si="6">SUM(Q28:Q39)</f>
        <v>4107.08</v>
      </c>
      <c r="R40" s="726">
        <f t="shared" si="6"/>
        <v>579.9</v>
      </c>
      <c r="S40" s="726">
        <f t="shared" si="6"/>
        <v>53281.54</v>
      </c>
      <c r="T40" s="726">
        <f t="shared" si="6"/>
        <v>1953.8799999999999</v>
      </c>
      <c r="U40" s="761">
        <f>+E40+L40+P40+Q40+R40+S40+T40</f>
        <v>1028463.6099999999</v>
      </c>
    </row>
    <row r="41" spans="1:23" ht="17.25" thickTop="1" thickBot="1">
      <c r="C41" s="725"/>
      <c r="E41" s="726"/>
      <c r="I41" s="727"/>
      <c r="J41" s="726"/>
      <c r="U41" s="800">
        <v>1007418.98</v>
      </c>
    </row>
    <row r="42" spans="1:23" ht="16.5" thickBot="1">
      <c r="A42" s="746"/>
      <c r="B42" s="747"/>
      <c r="C42" s="748" t="s">
        <v>803</v>
      </c>
      <c r="D42" s="747"/>
      <c r="E42" s="749" t="s">
        <v>804</v>
      </c>
      <c r="F42" s="747"/>
      <c r="G42" s="747"/>
      <c r="H42" s="750"/>
      <c r="I42" s="727"/>
      <c r="J42" s="726"/>
      <c r="U42" s="799">
        <f>+U40-U41</f>
        <v>21044.629999999888</v>
      </c>
      <c r="V42" s="336" t="s">
        <v>1030</v>
      </c>
    </row>
    <row r="43" spans="1:23" ht="16.5" thickBot="1">
      <c r="A43" s="751" t="s">
        <v>391</v>
      </c>
      <c r="C43" s="771">
        <f>+C23</f>
        <v>236736.88999999998</v>
      </c>
      <c r="E43" s="772">
        <f>+J23</f>
        <v>1700</v>
      </c>
      <c r="G43" s="769">
        <f>AVERAGE(G28:G39)</f>
        <v>3.8751247629891048</v>
      </c>
      <c r="H43" s="773" t="s">
        <v>801</v>
      </c>
      <c r="I43" s="727"/>
      <c r="J43" s="726"/>
    </row>
    <row r="44" spans="1:23">
      <c r="A44" s="751"/>
      <c r="C44" s="725"/>
      <c r="E44" s="726"/>
      <c r="G44" s="769">
        <f>AVERAGE(N29:N39)</f>
        <v>3.514430107526882</v>
      </c>
      <c r="H44" s="773" t="s">
        <v>802</v>
      </c>
      <c r="I44" s="727"/>
      <c r="J44" s="726"/>
    </row>
    <row r="45" spans="1:23">
      <c r="A45" s="758" t="s">
        <v>127</v>
      </c>
      <c r="B45" s="723"/>
      <c r="C45" s="723"/>
      <c r="D45" s="723"/>
      <c r="E45" s="770">
        <f>(C43*G43)+(E43*G44)</f>
        <v>923359.51593482331</v>
      </c>
      <c r="F45" s="723"/>
      <c r="G45" s="752"/>
      <c r="H45" s="753"/>
      <c r="J45" s="339"/>
      <c r="K45" s="339"/>
      <c r="L45" s="339"/>
    </row>
    <row r="46" spans="1:23">
      <c r="A46" s="758" t="s">
        <v>182</v>
      </c>
      <c r="B46" s="723"/>
      <c r="C46" s="723"/>
      <c r="D46" s="723"/>
      <c r="E46" s="770">
        <f>SUM(P23:S23)</f>
        <v>90424</v>
      </c>
      <c r="F46" s="754"/>
      <c r="G46" s="723"/>
      <c r="H46" s="755"/>
      <c r="J46" s="339"/>
      <c r="K46" s="740"/>
      <c r="L46" s="740"/>
    </row>
    <row r="47" spans="1:23">
      <c r="A47" s="758" t="s">
        <v>128</v>
      </c>
      <c r="B47" s="723"/>
      <c r="C47" s="723"/>
      <c r="D47" s="723"/>
      <c r="E47" s="770">
        <f>SUM(E45:E46)</f>
        <v>1013783.5159348233</v>
      </c>
      <c r="F47" s="723"/>
      <c r="G47" s="723"/>
      <c r="H47" s="755"/>
      <c r="J47" s="741"/>
      <c r="K47" s="339"/>
      <c r="L47" s="740"/>
    </row>
    <row r="48" spans="1:23">
      <c r="A48" s="751"/>
      <c r="E48" s="726"/>
      <c r="H48" s="755"/>
      <c r="J48" s="742"/>
      <c r="K48" s="741"/>
      <c r="L48" s="588"/>
      <c r="M48" s="741"/>
      <c r="N48" s="588"/>
    </row>
    <row r="49" spans="1:14">
      <c r="A49" s="758" t="s">
        <v>36</v>
      </c>
      <c r="B49" s="723"/>
      <c r="C49" s="723"/>
      <c r="D49" s="723"/>
      <c r="E49" s="760">
        <f>-Operations!C48</f>
        <v>-1157380.3300000003</v>
      </c>
      <c r="F49" s="723"/>
      <c r="G49" s="723"/>
      <c r="H49" s="755"/>
      <c r="J49" s="742"/>
      <c r="K49" s="741"/>
      <c r="L49" s="588"/>
      <c r="M49" s="741"/>
      <c r="N49" s="588"/>
    </row>
    <row r="50" spans="1:14">
      <c r="A50" s="751"/>
      <c r="H50" s="755"/>
      <c r="J50" s="743"/>
      <c r="K50" s="744"/>
      <c r="L50" s="743"/>
      <c r="M50" s="741"/>
      <c r="N50" s="741"/>
    </row>
    <row r="51" spans="1:14" ht="16.5" thickBot="1">
      <c r="A51" s="758" t="s">
        <v>1005</v>
      </c>
      <c r="B51" s="723"/>
      <c r="C51" s="723"/>
      <c r="D51" s="723"/>
      <c r="E51" s="774">
        <f>+E47+E49</f>
        <v>-143596.81406517699</v>
      </c>
      <c r="F51" s="723"/>
      <c r="G51" s="723"/>
      <c r="H51" s="755"/>
      <c r="J51" s="339"/>
      <c r="K51" s="339"/>
      <c r="L51" s="339"/>
    </row>
    <row r="52" spans="1:14" ht="17.25" thickTop="1" thickBot="1">
      <c r="A52" s="759" t="s">
        <v>879</v>
      </c>
      <c r="B52" s="756"/>
      <c r="C52" s="756"/>
      <c r="D52" s="756"/>
      <c r="E52" s="775">
        <f>+E51*'WP-11 - Non-Regulated'!K40</f>
        <v>-79541.288291214747</v>
      </c>
      <c r="F52" s="756"/>
      <c r="G52" s="756"/>
      <c r="H52" s="757"/>
      <c r="J52" s="339"/>
      <c r="K52" s="339"/>
      <c r="L52" s="339"/>
    </row>
    <row r="53" spans="1:14" s="339" customFormat="1">
      <c r="A53" s="341"/>
      <c r="B53" s="341"/>
      <c r="C53" s="341"/>
      <c r="D53" s="341"/>
      <c r="E53" s="341"/>
      <c r="F53" s="341"/>
      <c r="G53" s="341"/>
    </row>
    <row r="54" spans="1:14">
      <c r="J54" s="339"/>
      <c r="K54" s="339"/>
      <c r="L54" s="339"/>
    </row>
  </sheetData>
  <mergeCells count="17">
    <mergeCell ref="G25:H25"/>
    <mergeCell ref="G26:H26"/>
    <mergeCell ref="G27:H27"/>
    <mergeCell ref="N25:O25"/>
    <mergeCell ref="N26:O26"/>
    <mergeCell ref="N27:O27"/>
    <mergeCell ref="A5:O5"/>
    <mergeCell ref="A3:O3"/>
    <mergeCell ref="A1:O1"/>
    <mergeCell ref="N10:O10"/>
    <mergeCell ref="C7:H7"/>
    <mergeCell ref="J7:O7"/>
    <mergeCell ref="G8:H8"/>
    <mergeCell ref="G9:H9"/>
    <mergeCell ref="G10:H10"/>
    <mergeCell ref="N8:O8"/>
    <mergeCell ref="N9:O9"/>
  </mergeCells>
  <printOptions horizontalCentered="1"/>
  <pageMargins left="0.7" right="0.7" top="0.75" bottom="0.75" header="0.3" footer="0.3"/>
  <pageSetup scale="34"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dimension ref="A1:M31"/>
  <sheetViews>
    <sheetView zoomScaleNormal="100" workbookViewId="0">
      <selection sqref="A1:F1"/>
    </sheetView>
  </sheetViews>
  <sheetFormatPr defaultColWidth="8.88671875" defaultRowHeight="24.95" customHeight="1"/>
  <cols>
    <col min="1" max="3" width="20.6640625" style="430" customWidth="1"/>
    <col min="4" max="5" width="8.5546875" style="430" bestFit="1" customWidth="1"/>
    <col min="6" max="7" width="9" style="430" bestFit="1" customWidth="1"/>
    <col min="8" max="8" width="7.44140625" style="430" bestFit="1" customWidth="1"/>
    <col min="9" max="9" width="7.88671875" style="430" bestFit="1" customWidth="1"/>
    <col min="10" max="10" width="8.88671875" style="430" bestFit="1" customWidth="1"/>
    <col min="11" max="11" width="7.44140625" style="430" bestFit="1" customWidth="1"/>
    <col min="12" max="16384" width="8.88671875" style="430"/>
  </cols>
  <sheetData>
    <row r="1" spans="1:13" ht="24.95" customHeight="1">
      <c r="A1" s="974" t="str">
        <f>'WP-7 - Fuel Analysis'!A1:G1</f>
        <v>Consolidated Disposal Services, Inc.</v>
      </c>
      <c r="B1" s="974"/>
      <c r="C1" s="974"/>
      <c r="D1" s="974"/>
      <c r="E1" s="974"/>
      <c r="F1" s="974"/>
    </row>
    <row r="2" spans="1:13" ht="5.0999999999999996" customHeight="1">
      <c r="A2" s="337"/>
      <c r="B2" s="338"/>
      <c r="C2" s="338"/>
      <c r="D2" s="338"/>
      <c r="E2" s="338"/>
      <c r="F2" s="431"/>
      <c r="G2" s="431"/>
      <c r="H2" s="431"/>
    </row>
    <row r="3" spans="1:13" ht="24.95" customHeight="1">
      <c r="A3" s="975" t="s">
        <v>765</v>
      </c>
      <c r="B3" s="975"/>
      <c r="C3" s="975"/>
      <c r="D3" s="975"/>
      <c r="E3" s="975"/>
      <c r="F3" s="975"/>
    </row>
    <row r="4" spans="1:13" ht="5.0999999999999996" customHeight="1">
      <c r="A4" s="340"/>
      <c r="B4" s="340"/>
      <c r="C4" s="340"/>
      <c r="D4" s="340"/>
      <c r="E4" s="340"/>
      <c r="F4" s="432"/>
      <c r="G4" s="432"/>
      <c r="H4" s="432"/>
      <c r="I4" s="432"/>
    </row>
    <row r="5" spans="1:13" ht="24.95" customHeight="1">
      <c r="A5" s="974" t="str">
        <f>'WP-7 - Fuel Analysis'!$A$5</f>
        <v>In Support of Tariff 8 effective April 1, 2025</v>
      </c>
      <c r="B5" s="974"/>
      <c r="C5" s="974"/>
      <c r="D5" s="974"/>
      <c r="E5" s="974"/>
      <c r="F5" s="974"/>
      <c r="G5" s="432"/>
      <c r="H5" s="432"/>
      <c r="I5" s="432"/>
    </row>
    <row r="6" spans="1:13" ht="24.95" customHeight="1">
      <c r="A6" s="360"/>
      <c r="B6" s="360"/>
      <c r="C6" s="360"/>
      <c r="D6" s="360"/>
      <c r="E6" s="360"/>
      <c r="F6" s="360"/>
      <c r="G6" s="432"/>
      <c r="H6" s="432"/>
      <c r="I6" s="432"/>
    </row>
    <row r="7" spans="1:13" ht="20.100000000000001" customHeight="1">
      <c r="A7" s="979"/>
      <c r="B7" s="980" t="s">
        <v>378</v>
      </c>
      <c r="C7" s="980"/>
      <c r="F7" s="433"/>
      <c r="G7" s="433"/>
      <c r="H7" s="433"/>
      <c r="I7" s="433"/>
      <c r="J7" s="433"/>
      <c r="K7" s="433"/>
      <c r="L7" s="433"/>
      <c r="M7" s="433"/>
    </row>
    <row r="8" spans="1:13" ht="20.100000000000001" customHeight="1">
      <c r="A8" s="979"/>
      <c r="B8" s="980"/>
      <c r="C8" s="980"/>
      <c r="D8" s="432"/>
      <c r="E8" s="432"/>
      <c r="F8" s="433"/>
      <c r="G8" s="433"/>
      <c r="H8" s="433"/>
      <c r="I8" s="433"/>
      <c r="J8" s="433"/>
      <c r="K8" s="433"/>
      <c r="L8" s="433"/>
      <c r="M8" s="433"/>
    </row>
    <row r="9" spans="1:13" ht="20.100000000000001" customHeight="1">
      <c r="A9" s="432"/>
      <c r="B9" s="452" t="s">
        <v>995</v>
      </c>
      <c r="C9" s="452" t="s">
        <v>836</v>
      </c>
      <c r="D9" s="432"/>
      <c r="E9" s="432"/>
      <c r="F9" s="433"/>
      <c r="G9" s="433"/>
      <c r="H9" s="433"/>
      <c r="I9" s="433"/>
      <c r="J9" s="433"/>
      <c r="K9" s="433"/>
      <c r="L9" s="433"/>
      <c r="M9" s="433"/>
    </row>
    <row r="10" spans="1:13" ht="24.95" customHeight="1">
      <c r="A10" s="453" t="s">
        <v>1012</v>
      </c>
      <c r="B10" s="433">
        <f>+'IS-PBC'!B202+'IS-PBC'!B203+'IS-PBC'!B205+'IS-PBC'!B206</f>
        <v>1067.21</v>
      </c>
      <c r="C10" s="433">
        <f>+'IS-PBC'!B202+'IS-PBC'!B203</f>
        <v>1263.58</v>
      </c>
    </row>
    <row r="11" spans="1:13" ht="24.95" customHeight="1">
      <c r="A11" s="453" t="s">
        <v>1013</v>
      </c>
      <c r="B11" s="433">
        <f>+'IS-PBC'!C202+'IS-PBC'!C203+'IS-PBC'!C205+'IS-PBC'!C206</f>
        <v>230.39999999999998</v>
      </c>
      <c r="C11" s="433">
        <f>+'IS-PBC'!C202+'IS-PBC'!C203</f>
        <v>435.27</v>
      </c>
      <c r="M11" s="433"/>
    </row>
    <row r="12" spans="1:13" ht="24.95" customHeight="1">
      <c r="A12" s="453" t="s">
        <v>1014</v>
      </c>
      <c r="B12" s="433">
        <f>+'IS-PBC'!D202+'IS-PBC'!D203+'IS-PBC'!D205+'IS-PBC'!D206</f>
        <v>39.880000000000003</v>
      </c>
      <c r="C12" s="433">
        <f>+'IS-PBC'!D202+'IS-PBC'!D203</f>
        <v>227.71</v>
      </c>
      <c r="D12" s="433"/>
      <c r="E12" s="433"/>
      <c r="F12" s="433"/>
      <c r="G12" s="433"/>
      <c r="H12" s="433"/>
      <c r="I12" s="433"/>
      <c r="J12" s="433"/>
      <c r="K12" s="433"/>
      <c r="L12" s="433"/>
      <c r="M12" s="433"/>
    </row>
    <row r="13" spans="1:13" ht="24.95" customHeight="1">
      <c r="A13" s="453" t="s">
        <v>1015</v>
      </c>
      <c r="B13" s="433">
        <f>+'IS-PBC'!E202+'IS-PBC'!E203+'IS-PBC'!E205+'IS-PBC'!E206</f>
        <v>1384.6699999999998</v>
      </c>
      <c r="C13" s="433">
        <f>+'IS-PBC'!E202+'IS-PBC'!E203</f>
        <v>1454.33</v>
      </c>
      <c r="D13" s="433"/>
      <c r="E13" s="433"/>
      <c r="F13" s="433"/>
      <c r="G13" s="433"/>
      <c r="H13" s="433"/>
      <c r="I13" s="433"/>
      <c r="J13" s="433"/>
      <c r="K13" s="433"/>
      <c r="L13" s="433"/>
      <c r="M13" s="433"/>
    </row>
    <row r="14" spans="1:13" ht="24.95" customHeight="1">
      <c r="A14" s="453" t="s">
        <v>1016</v>
      </c>
      <c r="B14" s="433">
        <f>+'IS-PBC'!F202+'IS-PBC'!F203+'IS-PBC'!F205+'IS-PBC'!F206</f>
        <v>1359.81</v>
      </c>
      <c r="C14" s="433">
        <f>+'IS-PBC'!F202+'IS-PBC'!F203</f>
        <v>1397.26</v>
      </c>
      <c r="D14" s="433"/>
      <c r="E14" s="433"/>
      <c r="F14" s="433"/>
      <c r="G14" s="433"/>
      <c r="H14" s="433"/>
      <c r="I14" s="433"/>
      <c r="J14" s="433"/>
      <c r="K14" s="433"/>
      <c r="L14" s="433"/>
      <c r="M14" s="433"/>
    </row>
    <row r="15" spans="1:13" ht="24.95" customHeight="1">
      <c r="A15" s="453" t="s">
        <v>1017</v>
      </c>
      <c r="B15" s="433">
        <f>+'IS-PBC'!G202+'IS-PBC'!G203+'IS-PBC'!G205+'IS-PBC'!G206</f>
        <v>-74.019999999999982</v>
      </c>
      <c r="C15" s="433">
        <f>+'IS-PBC'!G202+'IS-PBC'!G203</f>
        <v>329.06</v>
      </c>
      <c r="D15" s="433"/>
      <c r="E15" s="433"/>
      <c r="F15" s="433"/>
      <c r="G15" s="433"/>
      <c r="H15" s="433"/>
      <c r="I15" s="433"/>
      <c r="J15" s="433"/>
      <c r="K15" s="433"/>
      <c r="L15" s="433"/>
      <c r="M15" s="433"/>
    </row>
    <row r="16" spans="1:13" ht="24.95" customHeight="1">
      <c r="A16" s="453" t="s">
        <v>1018</v>
      </c>
      <c r="B16" s="433">
        <f>+'IS-PBC'!H202+'IS-PBC'!H203+'IS-PBC'!H205+'IS-PBC'!H206</f>
        <v>228.59</v>
      </c>
      <c r="C16" s="433">
        <f>+'IS-PBC'!H202+'IS-PBC'!H203</f>
        <v>400.95</v>
      </c>
      <c r="D16" s="433"/>
      <c r="E16" s="433"/>
      <c r="F16" s="433"/>
      <c r="G16" s="433"/>
      <c r="H16" s="433"/>
      <c r="I16" s="433"/>
      <c r="J16" s="433"/>
      <c r="K16" s="433"/>
      <c r="L16" s="433"/>
      <c r="M16" s="433"/>
    </row>
    <row r="17" spans="1:13" ht="24.95" customHeight="1">
      <c r="A17" s="453" t="s">
        <v>1019</v>
      </c>
      <c r="B17" s="433">
        <f>+'IS-PBC'!I202+'IS-PBC'!I203+'IS-PBC'!I205+'IS-PBC'!I206</f>
        <v>934.86</v>
      </c>
      <c r="C17" s="433">
        <f>+'IS-PBC'!I202+'IS-PBC'!I203</f>
        <v>934.86</v>
      </c>
      <c r="D17" s="433"/>
      <c r="E17" s="433"/>
      <c r="F17" s="433"/>
      <c r="G17" s="433"/>
      <c r="H17" s="433"/>
      <c r="I17" s="433"/>
      <c r="J17" s="433"/>
      <c r="K17" s="433"/>
      <c r="L17" s="433"/>
      <c r="M17" s="433"/>
    </row>
    <row r="18" spans="1:13" ht="24.95" customHeight="1">
      <c r="A18" s="453" t="s">
        <v>1020</v>
      </c>
      <c r="B18" s="433">
        <f>+'IS-PBC'!J202+'IS-PBC'!J203+'IS-PBC'!J205+'IS-PBC'!J206</f>
        <v>809.03000000000009</v>
      </c>
      <c r="C18" s="433">
        <f>+'IS-PBC'!J202+'IS-PBC'!J203</f>
        <v>900.94</v>
      </c>
      <c r="D18" s="433"/>
      <c r="E18" s="433"/>
      <c r="F18" s="433"/>
      <c r="G18" s="433"/>
      <c r="H18" s="433"/>
      <c r="I18" s="433"/>
      <c r="J18" s="433"/>
      <c r="K18" s="433"/>
      <c r="L18" s="433"/>
      <c r="M18" s="433"/>
    </row>
    <row r="19" spans="1:13" ht="24.95" customHeight="1">
      <c r="A19" s="453" t="s">
        <v>1021</v>
      </c>
      <c r="B19" s="433">
        <f>+'IS-PBC'!K202+'IS-PBC'!K203+'IS-PBC'!K205+'IS-PBC'!K206</f>
        <v>1390.28</v>
      </c>
      <c r="C19" s="433">
        <f>+'IS-PBC'!K202+'IS-PBC'!K203</f>
        <v>1449.02</v>
      </c>
      <c r="D19" s="433"/>
      <c r="E19" s="433"/>
      <c r="F19" s="434"/>
      <c r="G19" s="434"/>
      <c r="H19" s="434"/>
      <c r="I19" s="433"/>
      <c r="J19" s="433"/>
      <c r="K19" s="433"/>
      <c r="L19" s="433"/>
      <c r="M19" s="433"/>
    </row>
    <row r="20" spans="1:13" ht="24.95" customHeight="1">
      <c r="A20" s="453" t="s">
        <v>1022</v>
      </c>
      <c r="B20" s="433">
        <f>+'IS-PBC'!L202+'IS-PBC'!L203+'IS-PBC'!L205+'IS-PBC'!L206</f>
        <v>877.3</v>
      </c>
      <c r="C20" s="433">
        <f>+'IS-PBC'!L202+'IS-PBC'!L203</f>
        <v>931.14</v>
      </c>
      <c r="D20" s="433"/>
      <c r="E20" s="433"/>
      <c r="F20" s="433"/>
      <c r="G20" s="433"/>
      <c r="H20" s="433"/>
      <c r="I20" s="433"/>
      <c r="J20" s="433"/>
      <c r="K20" s="433"/>
      <c r="L20" s="433"/>
      <c r="M20" s="433"/>
    </row>
    <row r="21" spans="1:13" ht="24.95" customHeight="1">
      <c r="A21" s="453" t="s">
        <v>1023</v>
      </c>
      <c r="B21" s="433">
        <f>+'IS-PBC'!M202+'IS-PBC'!M203+'IS-PBC'!M205+'IS-PBC'!M206</f>
        <v>811.11000000000013</v>
      </c>
      <c r="C21" s="783">
        <f>+'IS-PBC'!M202+'IS-PBC'!M203</f>
        <v>991.45</v>
      </c>
      <c r="D21" s="433"/>
      <c r="E21" s="433"/>
      <c r="F21" s="433"/>
      <c r="G21" s="433"/>
      <c r="H21" s="433"/>
      <c r="I21" s="433"/>
      <c r="J21" s="433"/>
      <c r="K21" s="433"/>
      <c r="L21" s="433"/>
      <c r="M21" s="433"/>
    </row>
    <row r="22" spans="1:13" ht="5.0999999999999996" customHeight="1">
      <c r="B22" s="782"/>
      <c r="C22" s="433"/>
      <c r="D22" s="433"/>
      <c r="E22" s="433"/>
      <c r="F22" s="433"/>
      <c r="G22" s="433"/>
      <c r="H22" s="433"/>
      <c r="I22" s="433"/>
      <c r="J22" s="433"/>
      <c r="K22" s="433"/>
      <c r="L22" s="433"/>
      <c r="M22" s="433"/>
    </row>
    <row r="23" spans="1:13" ht="25.5" customHeight="1">
      <c r="A23" s="430" t="s">
        <v>0</v>
      </c>
      <c r="B23" s="433">
        <f>SUM(B10:B21)</f>
        <v>9059.119999999999</v>
      </c>
      <c r="C23" s="433">
        <f>SUM(C10:C21)</f>
        <v>10715.57</v>
      </c>
      <c r="D23" s="435" t="s">
        <v>381</v>
      </c>
      <c r="E23" s="436"/>
    </row>
    <row r="24" spans="1:13" ht="59.25" customHeight="1">
      <c r="A24" s="452" t="s">
        <v>36</v>
      </c>
      <c r="B24" s="433">
        <f>+Operations!C39+Operations!C40</f>
        <v>9059.1200000000026</v>
      </c>
      <c r="C24" s="433">
        <f>+C23</f>
        <v>10715.57</v>
      </c>
      <c r="D24" s="436"/>
      <c r="E24" s="436"/>
    </row>
    <row r="25" spans="1:13" ht="48" customHeight="1">
      <c r="A25" s="452" t="s">
        <v>379</v>
      </c>
      <c r="B25" s="783">
        <f>+B23-B24</f>
        <v>0</v>
      </c>
      <c r="C25" s="455"/>
      <c r="D25" s="455"/>
      <c r="E25" s="433"/>
    </row>
    <row r="26" spans="1:13" ht="24.95" customHeight="1" thickBot="1">
      <c r="A26" s="430" t="s">
        <v>380</v>
      </c>
      <c r="B26" s="583">
        <f>+B24+B25</f>
        <v>9059.1200000000026</v>
      </c>
      <c r="C26" s="583"/>
    </row>
    <row r="27" spans="1:13" ht="24.95" customHeight="1" thickTop="1"/>
    <row r="28" spans="1:13" ht="24.95" customHeight="1">
      <c r="A28" s="430" t="s">
        <v>183</v>
      </c>
      <c r="B28" s="450">
        <f>+Operations!E26</f>
        <v>7643720.8899999987</v>
      </c>
    </row>
    <row r="29" spans="1:13" ht="24.95" customHeight="1">
      <c r="A29" s="430" t="s">
        <v>747</v>
      </c>
      <c r="B29" s="451">
        <f>+(B26+C26)/B28</f>
        <v>1.1851714800120081E-3</v>
      </c>
    </row>
    <row r="31" spans="1:13" ht="24.95" customHeight="1">
      <c r="A31" s="563"/>
    </row>
  </sheetData>
  <mergeCells count="5">
    <mergeCell ref="A5:F5"/>
    <mergeCell ref="A3:F3"/>
    <mergeCell ref="A1:F1"/>
    <mergeCell ref="A7:A8"/>
    <mergeCell ref="B7:C8"/>
  </mergeCells>
  <phoneticPr fontId="174" type="noConversion"/>
  <printOptions horizontalCentered="1"/>
  <pageMargins left="0.7" right="0.7" top="0.75" bottom="0.75" header="0.3" footer="0.3"/>
  <pageSetup scale="72" fitToWidth="0"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pageSetUpPr fitToPage="1"/>
  </sheetPr>
  <dimension ref="A1:Y323"/>
  <sheetViews>
    <sheetView zoomScaleNormal="100" zoomScaleSheetLayoutView="55" workbookViewId="0">
      <selection sqref="A1:G1"/>
    </sheetView>
  </sheetViews>
  <sheetFormatPr defaultColWidth="8.88671875" defaultRowHeight="15.75"/>
  <cols>
    <col min="1" max="1" width="32.109375" style="430" customWidth="1"/>
    <col min="2" max="13" width="12.88671875" style="430" customWidth="1"/>
    <col min="14" max="14" width="1.88671875" style="430" customWidth="1"/>
    <col min="15" max="15" width="12.88671875" style="430" customWidth="1"/>
    <col min="16" max="16" width="24.88671875" style="430" customWidth="1"/>
    <col min="17" max="17" width="12.21875" style="430" bestFit="1" customWidth="1"/>
    <col min="18" max="18" width="1.88671875" style="430" customWidth="1"/>
    <col min="19" max="21" width="8.88671875" style="430"/>
    <col min="22" max="22" width="11.21875" style="430" customWidth="1"/>
    <col min="23" max="16384" width="8.88671875" style="430"/>
  </cols>
  <sheetData>
    <row r="1" spans="1:25">
      <c r="A1" s="974" t="str">
        <f>+'WP-8 - Bad Debts'!A1:F1</f>
        <v>Consolidated Disposal Services, Inc.</v>
      </c>
      <c r="B1" s="974"/>
      <c r="C1" s="974"/>
      <c r="D1" s="974"/>
      <c r="E1" s="974"/>
      <c r="F1" s="974"/>
      <c r="G1" s="974"/>
      <c r="H1" s="438"/>
    </row>
    <row r="2" spans="1:25" ht="18" customHeight="1">
      <c r="A2" s="337"/>
      <c r="B2" s="338"/>
      <c r="C2" s="338"/>
      <c r="D2" s="338"/>
      <c r="E2" s="338"/>
      <c r="F2" s="338"/>
      <c r="G2" s="338"/>
      <c r="H2" s="431"/>
      <c r="I2" s="507"/>
      <c r="J2" s="431"/>
    </row>
    <row r="3" spans="1:25">
      <c r="A3" s="975" t="s">
        <v>766</v>
      </c>
      <c r="B3" s="975"/>
      <c r="C3" s="975"/>
      <c r="D3" s="975"/>
      <c r="E3" s="975"/>
      <c r="F3" s="975"/>
      <c r="G3" s="975"/>
      <c r="I3" s="439"/>
      <c r="J3" s="439"/>
      <c r="K3" s="439"/>
      <c r="L3" s="439"/>
      <c r="M3" s="439"/>
      <c r="N3" s="439"/>
      <c r="O3" s="439"/>
      <c r="P3" s="439"/>
      <c r="Q3" s="439"/>
    </row>
    <row r="4" spans="1:25">
      <c r="A4" s="340"/>
      <c r="B4" s="340"/>
      <c r="C4" s="340"/>
      <c r="D4" s="340"/>
      <c r="E4" s="340"/>
      <c r="F4" s="340"/>
      <c r="G4" s="340"/>
      <c r="H4" s="432"/>
      <c r="I4" s="439"/>
      <c r="J4" s="439"/>
      <c r="K4" s="439"/>
      <c r="L4" s="439"/>
      <c r="M4" s="439"/>
      <c r="N4" s="439"/>
      <c r="O4" s="439"/>
      <c r="P4" s="439"/>
      <c r="Q4" s="439"/>
    </row>
    <row r="5" spans="1:25">
      <c r="A5" s="974" t="str">
        <f>+'WP-8 - Bad Debts'!A5:F5</f>
        <v>In Support of Tariff 8 effective April 1, 2025</v>
      </c>
      <c r="B5" s="974"/>
      <c r="C5" s="974"/>
      <c r="D5" s="974"/>
      <c r="E5" s="974"/>
      <c r="F5" s="974"/>
      <c r="G5" s="974"/>
      <c r="H5" s="432"/>
      <c r="I5" s="432"/>
      <c r="J5" s="432"/>
      <c r="K5" s="432"/>
    </row>
    <row r="6" spans="1:25">
      <c r="A6" s="360"/>
      <c r="B6" s="360"/>
      <c r="C6" s="360"/>
      <c r="D6" s="360"/>
      <c r="E6" s="360"/>
      <c r="F6" s="360"/>
      <c r="G6" s="360"/>
      <c r="H6" s="432"/>
      <c r="I6" s="432"/>
      <c r="J6" s="432"/>
      <c r="K6" s="432"/>
    </row>
    <row r="7" spans="1:25" customFormat="1">
      <c r="A7" s="552" t="s">
        <v>758</v>
      </c>
      <c r="B7" s="430"/>
      <c r="C7" s="430"/>
      <c r="D7" s="430"/>
      <c r="E7" s="430"/>
      <c r="F7" s="430"/>
      <c r="G7" s="430"/>
      <c r="H7" s="430"/>
      <c r="I7" s="430"/>
      <c r="J7" s="430"/>
      <c r="K7" s="430"/>
      <c r="L7" s="430"/>
      <c r="M7" s="430"/>
      <c r="N7" s="430"/>
      <c r="O7" s="430"/>
      <c r="P7" s="430"/>
      <c r="Q7" s="430"/>
    </row>
    <row r="8" spans="1:25" customFormat="1">
      <c r="A8" s="430"/>
      <c r="B8" s="430"/>
      <c r="C8" s="430"/>
      <c r="D8" s="430"/>
      <c r="E8" s="433"/>
      <c r="F8" s="433"/>
      <c r="G8" s="430"/>
      <c r="H8" s="430"/>
      <c r="I8" s="430"/>
      <c r="J8" s="430"/>
      <c r="K8" s="430"/>
      <c r="L8" s="430"/>
      <c r="M8" s="430"/>
      <c r="N8" s="430"/>
      <c r="O8" s="430"/>
      <c r="P8" s="551">
        <v>85.68</v>
      </c>
      <c r="Q8" s="430" t="s">
        <v>837</v>
      </c>
      <c r="S8" s="912">
        <v>69.12</v>
      </c>
      <c r="T8" s="456"/>
      <c r="U8" s="456"/>
    </row>
    <row r="9" spans="1:25" customFormat="1">
      <c r="A9" s="430"/>
      <c r="B9" s="432">
        <v>2023</v>
      </c>
      <c r="C9" s="432">
        <v>2023</v>
      </c>
      <c r="D9" s="432">
        <v>2023</v>
      </c>
      <c r="E9" s="432">
        <v>2023</v>
      </c>
      <c r="F9" s="432">
        <v>2023</v>
      </c>
      <c r="G9" s="432">
        <v>2023</v>
      </c>
      <c r="H9" s="432">
        <v>2023</v>
      </c>
      <c r="I9" s="432">
        <v>2023</v>
      </c>
      <c r="J9" s="432">
        <v>2023</v>
      </c>
      <c r="K9" s="432">
        <v>2023</v>
      </c>
      <c r="L9" s="432">
        <v>2023</v>
      </c>
      <c r="M9" s="432">
        <v>2023</v>
      </c>
      <c r="N9" s="430"/>
      <c r="O9" s="430"/>
      <c r="P9" s="551">
        <v>81</v>
      </c>
      <c r="Q9" s="591" t="s">
        <v>844</v>
      </c>
    </row>
    <row r="10" spans="1:25" customFormat="1">
      <c r="A10" s="586"/>
      <c r="B10" s="587" t="s">
        <v>63</v>
      </c>
      <c r="C10" s="587" t="s">
        <v>64</v>
      </c>
      <c r="D10" s="587" t="s">
        <v>65</v>
      </c>
      <c r="E10" s="587" t="s">
        <v>66</v>
      </c>
      <c r="F10" s="587" t="s">
        <v>67</v>
      </c>
      <c r="G10" s="587" t="s">
        <v>68</v>
      </c>
      <c r="H10" s="587" t="s">
        <v>69</v>
      </c>
      <c r="I10" s="587" t="s">
        <v>70</v>
      </c>
      <c r="J10" s="587" t="s">
        <v>62</v>
      </c>
      <c r="K10" s="587" t="s">
        <v>61</v>
      </c>
      <c r="L10" s="587" t="s">
        <v>60</v>
      </c>
      <c r="M10" s="587" t="s">
        <v>59</v>
      </c>
      <c r="N10" s="430"/>
      <c r="O10" s="587" t="s">
        <v>6</v>
      </c>
      <c r="P10" s="589">
        <v>47.62</v>
      </c>
      <c r="Q10" s="591" t="s">
        <v>845</v>
      </c>
      <c r="S10" s="614"/>
      <c r="T10" s="436"/>
      <c r="U10" s="436"/>
      <c r="V10" s="436"/>
      <c r="W10" s="436"/>
      <c r="X10" s="436"/>
      <c r="Y10" s="436"/>
    </row>
    <row r="11" spans="1:25" customFormat="1">
      <c r="A11" s="571" t="s">
        <v>756</v>
      </c>
      <c r="B11" s="430"/>
      <c r="C11" s="430"/>
      <c r="D11" s="430"/>
      <c r="E11" s="430"/>
      <c r="F11" s="430"/>
      <c r="G11" s="430"/>
      <c r="H11" s="430"/>
      <c r="I11" s="430"/>
      <c r="J11" s="430"/>
      <c r="K11" s="430"/>
      <c r="L11" s="430"/>
      <c r="M11" s="430"/>
      <c r="N11" s="430"/>
      <c r="O11" s="430"/>
      <c r="P11" s="433">
        <f>+A45</f>
        <v>80</v>
      </c>
      <c r="Q11" s="591" t="s">
        <v>846</v>
      </c>
      <c r="S11" s="436"/>
      <c r="T11" s="436"/>
      <c r="U11" s="436"/>
      <c r="V11" s="436"/>
      <c r="W11" s="436"/>
      <c r="X11" s="436"/>
      <c r="Y11" s="436"/>
    </row>
    <row r="12" spans="1:25" customFormat="1">
      <c r="A12" s="508" t="s">
        <v>841</v>
      </c>
      <c r="B12" s="585">
        <v>92.87</v>
      </c>
      <c r="C12" s="585">
        <v>87.43</v>
      </c>
      <c r="D12" s="585">
        <v>93.33</v>
      </c>
      <c r="E12" s="585">
        <v>108.37</v>
      </c>
      <c r="F12" s="585">
        <v>99.76</v>
      </c>
      <c r="G12" s="585">
        <v>76.34</v>
      </c>
      <c r="H12" s="585">
        <v>78.540000000000006</v>
      </c>
      <c r="I12" s="585">
        <v>89.51</v>
      </c>
      <c r="J12" s="585">
        <v>70.64</v>
      </c>
      <c r="K12" s="585">
        <v>199.56</v>
      </c>
      <c r="L12" s="585">
        <v>192.13</v>
      </c>
      <c r="M12" s="585">
        <v>224.85</v>
      </c>
      <c r="N12" s="551"/>
      <c r="O12" s="585">
        <f>SUM(B12:N12)</f>
        <v>1413.33</v>
      </c>
      <c r="P12" s="433">
        <f>+O12*P11</f>
        <v>113066.4</v>
      </c>
      <c r="Q12" s="430"/>
      <c r="S12" s="615" t="s">
        <v>957</v>
      </c>
      <c r="T12" s="436"/>
      <c r="U12" s="436"/>
      <c r="V12" s="436"/>
      <c r="W12" s="436"/>
      <c r="X12" s="436"/>
      <c r="Y12" s="436"/>
    </row>
    <row r="13" spans="1:25" customFormat="1">
      <c r="A13" s="508" t="s">
        <v>842</v>
      </c>
      <c r="B13" s="585">
        <v>93.17</v>
      </c>
      <c r="C13" s="585">
        <v>77.75</v>
      </c>
      <c r="D13" s="585">
        <v>104.34</v>
      </c>
      <c r="E13" s="585">
        <v>96.01</v>
      </c>
      <c r="F13" s="585">
        <v>116.88</v>
      </c>
      <c r="G13" s="585">
        <v>96.5</v>
      </c>
      <c r="H13" s="585">
        <v>100.26</v>
      </c>
      <c r="I13" s="585">
        <v>144.30000000000001</v>
      </c>
      <c r="J13" s="585">
        <v>113.6</v>
      </c>
      <c r="K13" s="585">
        <v>129.99</v>
      </c>
      <c r="L13" s="585">
        <v>131.01</v>
      </c>
      <c r="M13" s="585">
        <v>97.28</v>
      </c>
      <c r="N13" s="551"/>
      <c r="O13" s="585">
        <f>SUM(B13:N13)</f>
        <v>1301.0900000000001</v>
      </c>
      <c r="P13" s="433">
        <f>+O13*P11</f>
        <v>104087.20000000001</v>
      </c>
      <c r="Q13" s="430"/>
      <c r="S13" s="430" t="s">
        <v>1355</v>
      </c>
      <c r="T13" s="430"/>
    </row>
    <row r="14" spans="1:25" customFormat="1">
      <c r="A14" s="508" t="s">
        <v>843</v>
      </c>
      <c r="B14" s="585">
        <v>221.98</v>
      </c>
      <c r="C14" s="585">
        <v>166.19</v>
      </c>
      <c r="D14" s="585">
        <v>202.73</v>
      </c>
      <c r="E14" s="585">
        <v>190.22</v>
      </c>
      <c r="F14" s="585">
        <v>221.47</v>
      </c>
      <c r="G14" s="585">
        <v>188.2</v>
      </c>
      <c r="H14" s="585">
        <v>187.63</v>
      </c>
      <c r="I14" s="585">
        <v>254.11</v>
      </c>
      <c r="J14" s="585">
        <v>201.88</v>
      </c>
      <c r="K14" s="585">
        <v>219.56</v>
      </c>
      <c r="L14" s="585">
        <v>202.94</v>
      </c>
      <c r="M14" s="585">
        <v>180.87</v>
      </c>
      <c r="N14" s="551"/>
      <c r="O14" s="585">
        <f>SUM(B14:N14)</f>
        <v>2437.7800000000002</v>
      </c>
      <c r="P14" s="433">
        <f>+O14*P11</f>
        <v>195022.40000000002</v>
      </c>
      <c r="Q14" s="430"/>
      <c r="S14" s="591" t="s">
        <v>1356</v>
      </c>
      <c r="T14" s="591" t="s">
        <v>906</v>
      </c>
      <c r="U14" s="456"/>
      <c r="V14" s="456"/>
    </row>
    <row r="15" spans="1:25" customFormat="1">
      <c r="A15" s="508" t="s">
        <v>838</v>
      </c>
      <c r="B15" s="283">
        <v>1833.18</v>
      </c>
      <c r="C15" s="283">
        <v>1096.6500000000001</v>
      </c>
      <c r="D15" s="283">
        <v>2048.89</v>
      </c>
      <c r="E15" s="283">
        <v>1825.74</v>
      </c>
      <c r="F15" s="283">
        <v>2248.0100000000002</v>
      </c>
      <c r="G15" s="283">
        <v>2336.87</v>
      </c>
      <c r="H15" s="283">
        <v>1779.26</v>
      </c>
      <c r="I15" s="283">
        <v>2212.2399999999998</v>
      </c>
      <c r="J15" s="283">
        <v>1890.19</v>
      </c>
      <c r="K15" s="283">
        <v>1539.41</v>
      </c>
      <c r="L15" s="283">
        <v>1655.19</v>
      </c>
      <c r="M15" s="283">
        <v>1389.02</v>
      </c>
      <c r="N15" s="585"/>
      <c r="O15" s="585">
        <f>SUM(B15:M15)</f>
        <v>21854.649999999998</v>
      </c>
      <c r="P15" s="577">
        <f>+(B15+C15+D15+E15+F15+G15+H15+I15+J15+K15+L15+M15)*P$10</f>
        <v>1040718.4329999998</v>
      </c>
      <c r="Q15" s="450"/>
      <c r="S15" s="505">
        <v>16892.669999999998</v>
      </c>
      <c r="T15">
        <v>50708.82</v>
      </c>
    </row>
    <row r="16" spans="1:25" customFormat="1">
      <c r="A16" s="508" t="s">
        <v>839</v>
      </c>
      <c r="B16" s="283">
        <v>339.64</v>
      </c>
      <c r="C16" s="283">
        <v>423.45</v>
      </c>
      <c r="D16" s="283">
        <v>437.58</v>
      </c>
      <c r="E16" s="283">
        <v>418.34</v>
      </c>
      <c r="F16" s="283">
        <v>572.89</v>
      </c>
      <c r="G16" s="283">
        <v>554.78</v>
      </c>
      <c r="H16" s="283">
        <v>691.7</v>
      </c>
      <c r="I16" s="283">
        <v>732.95</v>
      </c>
      <c r="J16" s="283">
        <v>583.89</v>
      </c>
      <c r="K16" s="283">
        <v>818.24</v>
      </c>
      <c r="L16" s="283">
        <v>914.43</v>
      </c>
      <c r="M16" s="283">
        <v>657.37</v>
      </c>
      <c r="N16" s="585"/>
      <c r="O16" s="585">
        <f>SUM(B16:M16)</f>
        <v>7145.2599999999993</v>
      </c>
      <c r="P16" s="577">
        <f>+(B16+C16+D16+E16+F16+G16+H16+I16+J16+K16+L16+M16)*P10</f>
        <v>340257.28119999997</v>
      </c>
      <c r="Q16" s="450"/>
      <c r="S16" s="505"/>
    </row>
    <row r="17" spans="1:22" customFormat="1">
      <c r="A17" s="508" t="s">
        <v>840</v>
      </c>
      <c r="B17" s="585">
        <v>1500.77</v>
      </c>
      <c r="C17" s="585">
        <v>864.46</v>
      </c>
      <c r="D17" s="585">
        <v>1263.46</v>
      </c>
      <c r="E17" s="585">
        <v>1177.02</v>
      </c>
      <c r="F17" s="585">
        <v>1247.5999999999999</v>
      </c>
      <c r="G17" s="585">
        <v>933.87</v>
      </c>
      <c r="H17" s="585">
        <v>1196.71</v>
      </c>
      <c r="I17" s="585">
        <v>1403.46</v>
      </c>
      <c r="J17" s="585">
        <v>1346.08</v>
      </c>
      <c r="K17" s="585">
        <v>1518.3</v>
      </c>
      <c r="L17" s="585">
        <v>1818.09</v>
      </c>
      <c r="M17" s="585">
        <v>1230.8</v>
      </c>
      <c r="N17" s="585"/>
      <c r="O17" s="585">
        <f t="shared" ref="O17:O18" si="0">SUM(B17:M17)</f>
        <v>15500.619999999997</v>
      </c>
      <c r="P17" s="577">
        <f>+(B17+C17+D17+E17+F17+G17+H17+I17+J17+K17+L17+M17)*P10</f>
        <v>738139.52439999988</v>
      </c>
      <c r="Q17" s="450"/>
      <c r="S17" s="505"/>
    </row>
    <row r="18" spans="1:22" customFormat="1">
      <c r="A18" s="508" t="s">
        <v>867</v>
      </c>
      <c r="B18" s="585">
        <v>1307.58</v>
      </c>
      <c r="C18" s="585">
        <v>1570.64</v>
      </c>
      <c r="D18" s="585">
        <v>1618.83</v>
      </c>
      <c r="E18" s="585">
        <v>1867.88</v>
      </c>
      <c r="F18" s="585">
        <v>1929.22</v>
      </c>
      <c r="G18" s="585">
        <v>1880.87</v>
      </c>
      <c r="H18" s="585">
        <v>1751.65</v>
      </c>
      <c r="I18" s="585">
        <v>1628.29</v>
      </c>
      <c r="J18" s="585">
        <v>1752.15</v>
      </c>
      <c r="K18" s="585">
        <v>1597.68</v>
      </c>
      <c r="L18" s="585">
        <v>1647.5</v>
      </c>
      <c r="M18" s="585">
        <v>1412.19</v>
      </c>
      <c r="N18" s="585"/>
      <c r="O18" s="585">
        <f t="shared" si="0"/>
        <v>19964.479999999996</v>
      </c>
      <c r="P18" s="577">
        <f>+(B18+C18+D18+E18+F18+G18+H18+I18+J18+K18+L18+M18)*P10</f>
        <v>950708.53759999981</v>
      </c>
      <c r="Q18" s="450"/>
    </row>
    <row r="19" spans="1:22" customFormat="1">
      <c r="A19" s="508" t="s">
        <v>998</v>
      </c>
      <c r="B19" s="585">
        <v>50.17</v>
      </c>
      <c r="C19" s="585">
        <v>42.51</v>
      </c>
      <c r="D19" s="585">
        <v>59.7</v>
      </c>
      <c r="E19" s="585">
        <v>54</v>
      </c>
      <c r="F19" s="585">
        <v>58.79</v>
      </c>
      <c r="G19" s="585">
        <v>60.13</v>
      </c>
      <c r="H19" s="585">
        <v>49.37</v>
      </c>
      <c r="I19" s="585">
        <v>65.91</v>
      </c>
      <c r="J19" s="585">
        <v>54.85</v>
      </c>
      <c r="K19" s="585">
        <v>48.2</v>
      </c>
      <c r="L19" s="585">
        <v>58.97</v>
      </c>
      <c r="M19" s="585">
        <v>45.24</v>
      </c>
      <c r="N19" s="585"/>
      <c r="O19" s="585">
        <f>SUM(B19:M19)</f>
        <v>647.84000000000015</v>
      </c>
      <c r="P19" s="585">
        <f>+O19*P9</f>
        <v>52475.040000000008</v>
      </c>
      <c r="Q19" s="450"/>
    </row>
    <row r="20" spans="1:22" customFormat="1">
      <c r="A20" s="508" t="s">
        <v>999</v>
      </c>
      <c r="B20" s="585">
        <v>77.069999999999993</v>
      </c>
      <c r="C20" s="585">
        <v>67.5</v>
      </c>
      <c r="D20" s="585">
        <v>88.98</v>
      </c>
      <c r="E20" s="585">
        <v>89.14</v>
      </c>
      <c r="F20" s="585">
        <v>111.86</v>
      </c>
      <c r="G20" s="585">
        <v>118.51</v>
      </c>
      <c r="H20" s="585">
        <v>90.24</v>
      </c>
      <c r="I20" s="585">
        <v>113.07</v>
      </c>
      <c r="J20" s="585">
        <v>92.8</v>
      </c>
      <c r="K20" s="585">
        <v>94.01</v>
      </c>
      <c r="L20" s="585">
        <v>85.96</v>
      </c>
      <c r="M20" s="585">
        <v>67.150000000000006</v>
      </c>
      <c r="N20" s="585"/>
      <c r="O20" s="585">
        <f>SUM(B20:M20)</f>
        <v>1096.2900000000002</v>
      </c>
      <c r="P20" s="585">
        <f>+O20*P8</f>
        <v>93930.127200000017</v>
      </c>
      <c r="Q20" s="450"/>
      <c r="S20" s="580">
        <f>+S15/T15</f>
        <v>0.33313080446360216</v>
      </c>
      <c r="T20" s="505" t="s">
        <v>907</v>
      </c>
    </row>
    <row r="21" spans="1:22" customFormat="1">
      <c r="A21" s="508"/>
      <c r="B21" s="585"/>
      <c r="C21" s="585"/>
      <c r="D21" s="585"/>
      <c r="E21" s="585"/>
      <c r="F21" s="585"/>
      <c r="G21" s="585"/>
      <c r="H21" s="585"/>
      <c r="I21" s="585"/>
      <c r="J21" s="585"/>
      <c r="K21" s="585"/>
      <c r="L21" s="585"/>
      <c r="M21" s="585"/>
      <c r="N21" s="585"/>
      <c r="O21" s="585">
        <f>SUM(B21:M21)</f>
        <v>0</v>
      </c>
      <c r="P21" s="592">
        <f>+O21*P8</f>
        <v>0</v>
      </c>
      <c r="Q21" s="450"/>
    </row>
    <row r="22" spans="1:22" customFormat="1">
      <c r="A22" s="508"/>
      <c r="B22" s="585"/>
      <c r="C22" s="585"/>
      <c r="D22" s="585"/>
      <c r="E22" s="585"/>
      <c r="F22" s="585"/>
      <c r="G22" s="585"/>
      <c r="H22" s="585"/>
      <c r="I22" s="585"/>
      <c r="J22" s="585"/>
      <c r="K22" s="585"/>
      <c r="L22" s="585"/>
      <c r="M22" s="585"/>
      <c r="N22" s="585"/>
      <c r="O22" s="585"/>
      <c r="P22" s="585">
        <f>SUM(P12:P21)</f>
        <v>3628404.9433999998</v>
      </c>
      <c r="Q22" s="450"/>
      <c r="S22" s="430">
        <f>+Operations!C46</f>
        <v>3626578.6700000009</v>
      </c>
      <c r="T22">
        <f>+S22-P22</f>
        <v>-1826.2733999988995</v>
      </c>
      <c r="U22" s="505" t="s">
        <v>872</v>
      </c>
    </row>
    <row r="23" spans="1:22" customFormat="1">
      <c r="A23" s="508" t="s">
        <v>906</v>
      </c>
      <c r="B23" s="585">
        <f t="shared" ref="B23:N23" si="1">SUM(B12:B22)</f>
        <v>5516.4299999999994</v>
      </c>
      <c r="C23" s="585">
        <f t="shared" si="1"/>
        <v>4396.5800000000008</v>
      </c>
      <c r="D23" s="585">
        <f t="shared" si="1"/>
        <v>5917.8399999999992</v>
      </c>
      <c r="E23" s="585">
        <f t="shared" si="1"/>
        <v>5826.72</v>
      </c>
      <c r="F23" s="585">
        <f t="shared" si="1"/>
        <v>6606.4800000000005</v>
      </c>
      <c r="G23" s="585">
        <f t="shared" si="1"/>
        <v>6246.07</v>
      </c>
      <c r="H23" s="585">
        <f t="shared" si="1"/>
        <v>5925.36</v>
      </c>
      <c r="I23" s="585">
        <f t="shared" si="1"/>
        <v>6643.8399999999992</v>
      </c>
      <c r="J23" s="585">
        <f t="shared" si="1"/>
        <v>6106.0800000000008</v>
      </c>
      <c r="K23" s="585">
        <f t="shared" si="1"/>
        <v>6164.9500000000007</v>
      </c>
      <c r="L23" s="585">
        <f t="shared" si="1"/>
        <v>6706.22</v>
      </c>
      <c r="M23" s="585">
        <f t="shared" si="1"/>
        <v>5304.7699999999986</v>
      </c>
      <c r="N23" s="585">
        <f t="shared" si="1"/>
        <v>0</v>
      </c>
      <c r="O23" s="585">
        <f>SUM(B23:M23)</f>
        <v>71361.34</v>
      </c>
      <c r="P23" s="450"/>
      <c r="Q23" s="430"/>
    </row>
    <row r="24" spans="1:22" customFormat="1">
      <c r="A24" s="508"/>
      <c r="B24" s="430"/>
      <c r="C24" s="430"/>
      <c r="D24" s="430"/>
      <c r="E24" s="618"/>
      <c r="F24" s="618"/>
      <c r="G24" s="618"/>
      <c r="H24" s="618"/>
      <c r="I24" s="618"/>
      <c r="J24" s="618"/>
      <c r="K24" s="618"/>
      <c r="L24" s="618"/>
      <c r="M24" s="618"/>
      <c r="N24" s="430"/>
      <c r="O24" s="585">
        <f t="shared" ref="O24:O25" si="2">SUM(B24:M24)</f>
        <v>0</v>
      </c>
      <c r="P24" s="450">
        <f>-P12-P17</f>
        <v>-851205.9243999999</v>
      </c>
      <c r="Q24" s="430" t="s">
        <v>859</v>
      </c>
    </row>
    <row r="25" spans="1:22" customFormat="1">
      <c r="A25" s="619"/>
      <c r="B25" s="586"/>
      <c r="C25" s="586"/>
      <c r="D25" s="586"/>
      <c r="E25" s="586"/>
      <c r="F25" s="620"/>
      <c r="G25" s="620"/>
      <c r="H25" s="620"/>
      <c r="I25" s="620"/>
      <c r="J25" s="620"/>
      <c r="K25" s="620"/>
      <c r="L25" s="620"/>
      <c r="M25" s="620"/>
      <c r="N25" s="430"/>
      <c r="O25" s="592">
        <f t="shared" si="2"/>
        <v>0</v>
      </c>
      <c r="P25" s="450"/>
      <c r="Q25" s="450"/>
    </row>
    <row r="26" spans="1:22" customFormat="1">
      <c r="B26" s="1"/>
      <c r="C26" s="1"/>
      <c r="D26" s="1"/>
      <c r="E26" s="1"/>
      <c r="F26" s="1"/>
      <c r="G26" s="1"/>
      <c r="H26" s="1"/>
      <c r="I26" s="1"/>
      <c r="J26" s="1"/>
      <c r="K26" s="1"/>
      <c r="L26" s="1"/>
      <c r="M26" s="1"/>
      <c r="N26" s="1"/>
      <c r="O26" s="1"/>
      <c r="P26">
        <f>+P22+P24</f>
        <v>2777199.0189999999</v>
      </c>
      <c r="Q26" s="505" t="s">
        <v>860</v>
      </c>
    </row>
    <row r="27" spans="1:22" customFormat="1">
      <c r="A27" s="508" t="s">
        <v>205</v>
      </c>
      <c r="B27" s="585">
        <f>+B13+B14+B15+B16+B19+B20+B21</f>
        <v>2615.21</v>
      </c>
      <c r="C27" s="585">
        <f t="shared" ref="C27:M27" si="3">+C13+C14+C15+C16+C19+C20+C21</f>
        <v>1874.0500000000002</v>
      </c>
      <c r="D27" s="585">
        <f t="shared" si="3"/>
        <v>2942.22</v>
      </c>
      <c r="E27" s="585">
        <f t="shared" si="3"/>
        <v>2673.4500000000003</v>
      </c>
      <c r="F27" s="585">
        <f t="shared" si="3"/>
        <v>3329.9</v>
      </c>
      <c r="G27" s="585">
        <f t="shared" si="3"/>
        <v>3354.99</v>
      </c>
      <c r="H27" s="585">
        <f t="shared" si="3"/>
        <v>2898.46</v>
      </c>
      <c r="I27" s="585">
        <f t="shared" si="3"/>
        <v>3522.5799999999995</v>
      </c>
      <c r="J27" s="585">
        <f t="shared" si="3"/>
        <v>2937.21</v>
      </c>
      <c r="K27" s="585">
        <f t="shared" si="3"/>
        <v>2849.41</v>
      </c>
      <c r="L27" s="585">
        <f t="shared" si="3"/>
        <v>3048.5</v>
      </c>
      <c r="M27" s="585">
        <f t="shared" si="3"/>
        <v>2436.9299999999998</v>
      </c>
      <c r="N27" s="585"/>
      <c r="O27" s="585">
        <f>SUM(B27:M27)</f>
        <v>34482.909999999996</v>
      </c>
      <c r="P27" s="450"/>
      <c r="Q27" s="450"/>
      <c r="T27" t="s">
        <v>849</v>
      </c>
      <c r="V27" t="s">
        <v>852</v>
      </c>
    </row>
    <row r="28" spans="1:22" customFormat="1">
      <c r="A28" s="508" t="s">
        <v>911</v>
      </c>
      <c r="B28" s="585">
        <f>-B19-B20-B21-363.89-106.14</f>
        <v>-597.27</v>
      </c>
      <c r="C28" s="585">
        <f>-C19-C20-C21-188.67-118.82</f>
        <v>-417.49999999999994</v>
      </c>
      <c r="D28" s="585">
        <f>-D19-D20-D21-217.22-140.02</f>
        <v>-505.91999999999996</v>
      </c>
      <c r="E28" s="585">
        <f>-E19-E20-E21-349.18-131.6</f>
        <v>-623.91999999999996</v>
      </c>
      <c r="F28" s="585">
        <f>-F19-F20-F21-437.23-147.06</f>
        <v>-754.94</v>
      </c>
      <c r="G28" s="585">
        <f>-G19-G20-G21-299.77-125.53</f>
        <v>-603.93999999999994</v>
      </c>
      <c r="H28" s="585">
        <f>-H19-H20-H21-381.43-158.55</f>
        <v>-679.58999999999992</v>
      </c>
      <c r="I28" s="585">
        <f>-I19-I20-I21-194.88-377.39</f>
        <v>-751.25</v>
      </c>
      <c r="J28" s="585">
        <f>-J19-J20-J21-402.93-109.72</f>
        <v>-660.30000000000007</v>
      </c>
      <c r="K28" s="585">
        <f>-K19-K20-K21-278.6-231.88</f>
        <v>-652.69000000000005</v>
      </c>
      <c r="L28" s="585">
        <f>-L19-L20-L21-319.17-275.12</f>
        <v>-739.22</v>
      </c>
      <c r="M28" s="585">
        <f>-M19-M20-M21-417.79-98.04</f>
        <v>-628.22</v>
      </c>
      <c r="N28" s="585"/>
      <c r="O28" s="585">
        <f>SUM(B28:M28)</f>
        <v>-7614.76</v>
      </c>
      <c r="P28" s="450"/>
      <c r="Q28" s="450"/>
      <c r="S28" s="505" t="s">
        <v>860</v>
      </c>
      <c r="T28">
        <f>+P30</f>
        <v>299109.59999999998</v>
      </c>
      <c r="V28">
        <f>+P31</f>
        <v>1101416.3135999998</v>
      </c>
    </row>
    <row r="29" spans="1:22" customFormat="1">
      <c r="A29" s="508" t="s">
        <v>1006</v>
      </c>
      <c r="B29" s="577">
        <f>SUM(B27:B28)</f>
        <v>2017.94</v>
      </c>
      <c r="C29" s="577">
        <f>SUM(C27:C28)</f>
        <v>1456.5500000000002</v>
      </c>
      <c r="D29" s="577">
        <f t="shared" ref="D29:L29" si="4">SUM(D27:D28)</f>
        <v>2436.2999999999997</v>
      </c>
      <c r="E29" s="577">
        <f t="shared" si="4"/>
        <v>2049.5300000000002</v>
      </c>
      <c r="F29" s="577">
        <f t="shared" si="4"/>
        <v>2574.96</v>
      </c>
      <c r="G29" s="577">
        <f t="shared" si="4"/>
        <v>2751.0499999999997</v>
      </c>
      <c r="H29" s="577">
        <f t="shared" si="4"/>
        <v>2218.87</v>
      </c>
      <c r="I29" s="577">
        <f t="shared" si="4"/>
        <v>2771.3299999999995</v>
      </c>
      <c r="J29" s="577">
        <f t="shared" si="4"/>
        <v>2276.91</v>
      </c>
      <c r="K29" s="577">
        <f t="shared" si="4"/>
        <v>2196.7199999999998</v>
      </c>
      <c r="L29" s="577">
        <f t="shared" si="4"/>
        <v>2309.2799999999997</v>
      </c>
      <c r="M29" s="577">
        <f>SUM(M27:M28)</f>
        <v>1808.7099999999998</v>
      </c>
      <c r="N29" s="1"/>
      <c r="O29" s="585">
        <f>SUM(B29:M29)</f>
        <v>26868.149999999994</v>
      </c>
      <c r="P29" s="450"/>
      <c r="Q29" s="450"/>
      <c r="S29" s="505" t="s">
        <v>859</v>
      </c>
      <c r="T29">
        <f>+P12</f>
        <v>113066.4</v>
      </c>
      <c r="V29">
        <f>+O34*P10</f>
        <v>624271.53279999993</v>
      </c>
    </row>
    <row r="30" spans="1:22" customFormat="1">
      <c r="A30" s="508" t="s">
        <v>847</v>
      </c>
      <c r="B30" s="577">
        <f t="shared" ref="B30:M30" si="5">+B13+B14</f>
        <v>315.14999999999998</v>
      </c>
      <c r="C30" s="577">
        <f t="shared" si="5"/>
        <v>243.94</v>
      </c>
      <c r="D30" s="577">
        <f t="shared" si="5"/>
        <v>307.07</v>
      </c>
      <c r="E30" s="577">
        <f t="shared" si="5"/>
        <v>286.23</v>
      </c>
      <c r="F30" s="577">
        <f t="shared" si="5"/>
        <v>338.35</v>
      </c>
      <c r="G30" s="577">
        <f t="shared" si="5"/>
        <v>284.7</v>
      </c>
      <c r="H30" s="577">
        <f t="shared" si="5"/>
        <v>287.89</v>
      </c>
      <c r="I30" s="577">
        <f t="shared" si="5"/>
        <v>398.41</v>
      </c>
      <c r="J30" s="577">
        <f t="shared" si="5"/>
        <v>315.48</v>
      </c>
      <c r="K30" s="577">
        <f t="shared" si="5"/>
        <v>349.55</v>
      </c>
      <c r="L30" s="577">
        <f t="shared" si="5"/>
        <v>333.95</v>
      </c>
      <c r="M30" s="577">
        <f t="shared" si="5"/>
        <v>278.14999999999998</v>
      </c>
      <c r="N30" s="1"/>
      <c r="O30" s="585">
        <f t="shared" ref="O30:O34" si="6">SUM(B30:M30)</f>
        <v>3738.87</v>
      </c>
      <c r="P30" s="450">
        <f>+O30*P11</f>
        <v>299109.59999999998</v>
      </c>
      <c r="Q30" s="450"/>
      <c r="S30" t="s">
        <v>850</v>
      </c>
      <c r="T30">
        <f>+T28+T29</f>
        <v>412176</v>
      </c>
      <c r="V30">
        <f>SUM(V28:V29)</f>
        <v>1725687.8463999997</v>
      </c>
    </row>
    <row r="31" spans="1:22" customFormat="1">
      <c r="A31" s="508" t="s">
        <v>848</v>
      </c>
      <c r="B31" s="577">
        <f>+B29-B30</f>
        <v>1702.79</v>
      </c>
      <c r="C31" s="577">
        <f t="shared" ref="C31:M31" si="7">+C29-C30</f>
        <v>1212.6100000000001</v>
      </c>
      <c r="D31" s="577">
        <f t="shared" si="7"/>
        <v>2129.2299999999996</v>
      </c>
      <c r="E31" s="577">
        <f t="shared" si="7"/>
        <v>1763.3000000000002</v>
      </c>
      <c r="F31" s="577">
        <f t="shared" si="7"/>
        <v>2236.61</v>
      </c>
      <c r="G31" s="577">
        <f t="shared" si="7"/>
        <v>2466.35</v>
      </c>
      <c r="H31" s="577">
        <f t="shared" si="7"/>
        <v>1930.98</v>
      </c>
      <c r="I31" s="577">
        <f t="shared" si="7"/>
        <v>2372.9199999999996</v>
      </c>
      <c r="J31" s="577">
        <f t="shared" si="7"/>
        <v>1961.4299999999998</v>
      </c>
      <c r="K31" s="577">
        <f t="shared" si="7"/>
        <v>1847.1699999999998</v>
      </c>
      <c r="L31" s="577">
        <f t="shared" si="7"/>
        <v>1975.3299999999997</v>
      </c>
      <c r="M31" s="577">
        <f t="shared" si="7"/>
        <v>1530.56</v>
      </c>
      <c r="N31" s="1"/>
      <c r="O31" s="585">
        <f t="shared" si="6"/>
        <v>23129.279999999995</v>
      </c>
      <c r="P31" s="585">
        <f>+(B31+C31+D31+E31+F31+G31+H31+I31+J31+K31+L31+M31)*P$10</f>
        <v>1101416.3135999998</v>
      </c>
      <c r="Q31" s="450"/>
      <c r="S31" s="505" t="s">
        <v>868</v>
      </c>
      <c r="V31">
        <f>+P18</f>
        <v>950708.53759999981</v>
      </c>
    </row>
    <row r="32" spans="1:22" customFormat="1">
      <c r="A32" s="508" t="s">
        <v>854</v>
      </c>
      <c r="B32" s="283">
        <f>+B12+B17</f>
        <v>1593.6399999999999</v>
      </c>
      <c r="C32" s="283">
        <f>+C12+C17-140.56</f>
        <v>811.33000000000015</v>
      </c>
      <c r="D32" s="283">
        <f>+D12+D17-199.64</f>
        <v>1157.1500000000001</v>
      </c>
      <c r="E32" s="283">
        <f>+E12+E17-183.35</f>
        <v>1102.04</v>
      </c>
      <c r="F32" s="283">
        <f>+F12+F17-138.59</f>
        <v>1208.77</v>
      </c>
      <c r="G32" s="283">
        <f>+G12+G17-129.62</f>
        <v>880.59</v>
      </c>
      <c r="H32" s="283">
        <f>+H12+H17-212.71</f>
        <v>1062.54</v>
      </c>
      <c r="I32" s="283">
        <f>+I12+I17-134.58</f>
        <v>1358.39</v>
      </c>
      <c r="J32" s="283">
        <f>+J12+J17-206.73</f>
        <v>1209.99</v>
      </c>
      <c r="K32" s="283">
        <f>+K12+K17-137.45</f>
        <v>1580.4099999999999</v>
      </c>
      <c r="L32" s="283">
        <f>+L12+L17-159.11</f>
        <v>1851.1099999999997</v>
      </c>
      <c r="M32" s="283">
        <f>+M12+M17-138.05</f>
        <v>1317.6</v>
      </c>
      <c r="N32" s="283">
        <f t="shared" ref="N32" si="8">+N12+N17</f>
        <v>0</v>
      </c>
      <c r="O32" s="585">
        <f t="shared" si="6"/>
        <v>15133.56</v>
      </c>
      <c r="P32" s="450"/>
      <c r="Q32" s="450"/>
      <c r="S32" t="s">
        <v>851</v>
      </c>
      <c r="T32">
        <f>+'IS-PBC'!O138</f>
        <v>416854.85000000003</v>
      </c>
      <c r="V32">
        <f>+'IS-PBC'!O130</f>
        <v>2676391.2800000003</v>
      </c>
    </row>
    <row r="33" spans="1:22" customFormat="1">
      <c r="A33" s="508" t="s">
        <v>847</v>
      </c>
      <c r="B33" s="283">
        <f>+B12</f>
        <v>92.87</v>
      </c>
      <c r="C33" s="283">
        <f t="shared" ref="C33:M33" si="9">+C12</f>
        <v>87.43</v>
      </c>
      <c r="D33" s="283">
        <f t="shared" si="9"/>
        <v>93.33</v>
      </c>
      <c r="E33" s="283">
        <f t="shared" si="9"/>
        <v>108.37</v>
      </c>
      <c r="F33" s="283">
        <f t="shared" si="9"/>
        <v>99.76</v>
      </c>
      <c r="G33" s="283">
        <f t="shared" si="9"/>
        <v>76.34</v>
      </c>
      <c r="H33" s="283">
        <f t="shared" si="9"/>
        <v>78.540000000000006</v>
      </c>
      <c r="I33" s="283">
        <f t="shared" si="9"/>
        <v>89.51</v>
      </c>
      <c r="J33" s="283">
        <f t="shared" si="9"/>
        <v>70.64</v>
      </c>
      <c r="K33" s="283">
        <f t="shared" si="9"/>
        <v>199.56</v>
      </c>
      <c r="L33" s="283">
        <f t="shared" si="9"/>
        <v>192.13</v>
      </c>
      <c r="M33" s="283">
        <f t="shared" si="9"/>
        <v>224.85</v>
      </c>
      <c r="N33" s="1"/>
      <c r="O33" s="585">
        <f t="shared" si="6"/>
        <v>1413.33</v>
      </c>
      <c r="P33" s="450">
        <f>+O33*P11</f>
        <v>113066.4</v>
      </c>
      <c r="Q33" s="450"/>
      <c r="T33">
        <f>+T30-T32</f>
        <v>-4678.8500000000349</v>
      </c>
      <c r="V33">
        <f>+V30-V32+V31</f>
        <v>5.1039999992353842</v>
      </c>
    </row>
    <row r="34" spans="1:22" customFormat="1">
      <c r="A34" s="508" t="s">
        <v>848</v>
      </c>
      <c r="B34" s="577">
        <v>1213.24</v>
      </c>
      <c r="C34" s="577">
        <v>729.58</v>
      </c>
      <c r="D34" s="577">
        <v>1012.55</v>
      </c>
      <c r="E34" s="577">
        <v>996.38</v>
      </c>
      <c r="F34" s="577">
        <v>1008.17</v>
      </c>
      <c r="G34" s="577">
        <v>794.6</v>
      </c>
      <c r="H34" s="577">
        <v>1002.14</v>
      </c>
      <c r="I34" s="577">
        <v>1233.01</v>
      </c>
      <c r="J34" s="577">
        <v>1144.08</v>
      </c>
      <c r="K34" s="577">
        <v>1244.81</v>
      </c>
      <c r="L34" s="577">
        <v>1683.65</v>
      </c>
      <c r="M34" s="577">
        <v>1047.23</v>
      </c>
      <c r="N34" s="1"/>
      <c r="O34" s="585">
        <f t="shared" si="6"/>
        <v>13109.439999999999</v>
      </c>
      <c r="P34">
        <f>+O34*P10</f>
        <v>624271.53279999993</v>
      </c>
      <c r="T34" t="s">
        <v>853</v>
      </c>
      <c r="V34" t="s">
        <v>853</v>
      </c>
    </row>
    <row r="35" spans="1:22" customFormat="1" ht="15">
      <c r="A35" s="505"/>
      <c r="P35">
        <f>SUM(P30:P34)</f>
        <v>2137863.8463999992</v>
      </c>
    </row>
    <row r="36" spans="1:22">
      <c r="A36" s="552" t="s">
        <v>226</v>
      </c>
      <c r="D36" s="509"/>
      <c r="E36" s="509"/>
      <c r="S36"/>
      <c r="T36"/>
      <c r="U36"/>
      <c r="V36"/>
    </row>
    <row r="37" spans="1:22">
      <c r="A37" s="981" t="s">
        <v>759</v>
      </c>
      <c r="B37" s="981"/>
      <c r="C37" s="981"/>
      <c r="D37" s="981"/>
      <c r="E37" s="981"/>
      <c r="F37" s="981"/>
      <c r="G37" s="981"/>
    </row>
    <row r="38" spans="1:22">
      <c r="A38" s="510">
        <v>47.62</v>
      </c>
      <c r="B38" s="430" t="s">
        <v>1000</v>
      </c>
      <c r="C38" s="433"/>
      <c r="E38" s="509"/>
      <c r="O38" s="433"/>
    </row>
    <row r="39" spans="1:22">
      <c r="A39" s="510">
        <v>47.62</v>
      </c>
      <c r="B39" s="430" t="s">
        <v>1366</v>
      </c>
      <c r="C39" s="433"/>
      <c r="E39" s="509"/>
      <c r="F39" s="511"/>
      <c r="H39" s="563"/>
      <c r="O39" s="433"/>
      <c r="P39" s="433">
        <f>+P12+P17</f>
        <v>851205.9243999999</v>
      </c>
      <c r="Q39" s="433" t="s">
        <v>908</v>
      </c>
    </row>
    <row r="40" spans="1:22">
      <c r="A40" s="433">
        <f>A39-A38</f>
        <v>0</v>
      </c>
      <c r="B40" s="430" t="s">
        <v>4</v>
      </c>
      <c r="C40" s="430" t="s">
        <v>869</v>
      </c>
      <c r="E40" s="509"/>
    </row>
    <row r="41" spans="1:22">
      <c r="A41" s="512"/>
      <c r="C41" s="509"/>
      <c r="E41" s="509"/>
      <c r="J41" s="563"/>
      <c r="P41" s="433">
        <f>+P30+P31+P33+P34</f>
        <v>2137863.8463999992</v>
      </c>
      <c r="Q41" s="430" t="s">
        <v>873</v>
      </c>
    </row>
    <row r="42" spans="1:22">
      <c r="A42" s="562">
        <f>A40/A38</f>
        <v>0</v>
      </c>
      <c r="B42" s="430" t="s">
        <v>196</v>
      </c>
      <c r="E42" s="511"/>
      <c r="P42" s="450">
        <f>+P22-P41</f>
        <v>1490541.0970000005</v>
      </c>
      <c r="Q42" s="430" t="s">
        <v>834</v>
      </c>
    </row>
    <row r="43" spans="1:22">
      <c r="A43" s="562"/>
      <c r="E43" s="511"/>
      <c r="P43" s="594"/>
    </row>
    <row r="44" spans="1:22">
      <c r="A44" s="982" t="s">
        <v>757</v>
      </c>
      <c r="B44" s="982"/>
      <c r="C44" s="982"/>
      <c r="D44" s="982"/>
      <c r="E44" s="982"/>
      <c r="F44" s="982"/>
      <c r="G44" s="982"/>
    </row>
    <row r="45" spans="1:22">
      <c r="A45" s="510">
        <v>80</v>
      </c>
      <c r="B45" s="430" t="s">
        <v>1000</v>
      </c>
      <c r="E45" s="509"/>
      <c r="P45" s="596">
        <f>+T29+V29</f>
        <v>737337.93279999995</v>
      </c>
      <c r="Q45" s="430" t="s">
        <v>909</v>
      </c>
    </row>
    <row r="46" spans="1:22">
      <c r="A46" s="510">
        <v>80</v>
      </c>
      <c r="B46" s="430" t="s">
        <v>1366</v>
      </c>
      <c r="E46" s="509"/>
      <c r="F46" s="511"/>
      <c r="H46" s="563"/>
      <c r="P46" s="551">
        <f>+P39-P45</f>
        <v>113867.99159999995</v>
      </c>
      <c r="Q46" s="430" t="s">
        <v>910</v>
      </c>
    </row>
    <row r="47" spans="1:22">
      <c r="A47" s="433">
        <f>A46-A45</f>
        <v>0</v>
      </c>
      <c r="B47" s="430" t="s">
        <v>4</v>
      </c>
      <c r="C47" s="430" t="s">
        <v>869</v>
      </c>
      <c r="E47" s="509"/>
    </row>
    <row r="48" spans="1:22">
      <c r="A48" s="512"/>
      <c r="C48" s="509"/>
      <c r="E48" s="509"/>
    </row>
    <row r="49" spans="1:22">
      <c r="A49" s="562">
        <f>A47/A45</f>
        <v>0</v>
      </c>
      <c r="B49" s="430" t="s">
        <v>196</v>
      </c>
      <c r="E49" s="511"/>
    </row>
    <row r="50" spans="1:22">
      <c r="A50" s="511"/>
    </row>
    <row r="51" spans="1:22" customFormat="1" ht="16.5" thickBot="1">
      <c r="A51" s="552" t="s">
        <v>1369</v>
      </c>
      <c r="B51" s="430"/>
      <c r="C51" s="430"/>
      <c r="D51" s="430"/>
      <c r="E51" s="430"/>
      <c r="S51" s="430"/>
      <c r="T51" s="430"/>
      <c r="U51" s="430"/>
      <c r="V51" s="430"/>
    </row>
    <row r="52" spans="1:22">
      <c r="A52" s="553"/>
      <c r="B52" s="554" t="s">
        <v>394</v>
      </c>
      <c r="C52" s="913"/>
      <c r="D52" s="555"/>
      <c r="E52" s="556"/>
      <c r="S52"/>
      <c r="T52"/>
      <c r="U52"/>
      <c r="V52"/>
    </row>
    <row r="53" spans="1:22">
      <c r="A53" s="557"/>
      <c r="B53" s="508" t="s">
        <v>395</v>
      </c>
      <c r="C53" s="914"/>
      <c r="E53" s="558"/>
    </row>
    <row r="54" spans="1:22">
      <c r="A54" s="557"/>
      <c r="B54" s="508" t="s">
        <v>396</v>
      </c>
      <c r="C54" s="915">
        <f>+C52-C53</f>
        <v>0</v>
      </c>
      <c r="E54" s="558"/>
    </row>
    <row r="55" spans="1:22" ht="16.5" thickBot="1">
      <c r="A55" s="559"/>
      <c r="B55" s="560"/>
      <c r="C55" s="560"/>
      <c r="D55" s="560"/>
      <c r="E55" s="561"/>
    </row>
    <row r="57" spans="1:22" ht="16.5" thickBot="1">
      <c r="A57" s="552" t="s">
        <v>1368</v>
      </c>
      <c r="B57" s="509"/>
      <c r="C57" s="509"/>
      <c r="D57" s="509"/>
      <c r="E57" s="509"/>
    </row>
    <row r="58" spans="1:22">
      <c r="A58" s="553"/>
      <c r="B58" s="555" t="s">
        <v>871</v>
      </c>
      <c r="C58" s="564"/>
      <c r="D58" s="555"/>
      <c r="E58" s="556"/>
    </row>
    <row r="59" spans="1:22">
      <c r="A59" s="557"/>
      <c r="B59" s="508" t="s">
        <v>870</v>
      </c>
      <c r="C59" s="433"/>
      <c r="D59" s="433"/>
      <c r="E59" s="558"/>
    </row>
    <row r="60" spans="1:22">
      <c r="A60" s="557"/>
      <c r="B60" s="508" t="s">
        <v>4</v>
      </c>
      <c r="C60" s="585">
        <f>+A40</f>
        <v>0</v>
      </c>
      <c r="E60" s="558"/>
    </row>
    <row r="61" spans="1:22" ht="16.5" thickBot="1">
      <c r="A61" s="557"/>
      <c r="B61" s="571" t="s">
        <v>199</v>
      </c>
      <c r="C61" s="916">
        <f>+C59*C60</f>
        <v>0</v>
      </c>
      <c r="E61" s="558"/>
    </row>
    <row r="62" spans="1:22" ht="16.5" thickTop="1">
      <c r="A62" s="557"/>
      <c r="B62" s="508" t="s">
        <v>397</v>
      </c>
      <c r="C62" s="572"/>
      <c r="E62" s="558"/>
    </row>
    <row r="63" spans="1:22">
      <c r="A63" s="557"/>
      <c r="B63" s="430" t="s">
        <v>870</v>
      </c>
      <c r="C63" s="433"/>
      <c r="E63" s="558"/>
    </row>
    <row r="64" spans="1:22">
      <c r="A64" s="557"/>
      <c r="B64" s="508" t="s">
        <v>4</v>
      </c>
      <c r="C64" s="585">
        <f>+C60</f>
        <v>0</v>
      </c>
      <c r="E64" s="558"/>
    </row>
    <row r="65" spans="1:18" ht="16.5" thickBot="1">
      <c r="A65" s="557"/>
      <c r="B65" s="571" t="s">
        <v>199</v>
      </c>
      <c r="C65" s="917">
        <f>+C63*C64</f>
        <v>0</v>
      </c>
      <c r="E65" s="558"/>
    </row>
    <row r="66" spans="1:18" ht="17.25" thickTop="1" thickBot="1">
      <c r="A66" s="559"/>
      <c r="B66" s="560"/>
      <c r="C66" s="560"/>
      <c r="D66" s="560"/>
      <c r="E66" s="561"/>
    </row>
    <row r="67" spans="1:18">
      <c r="A67" s="513"/>
      <c r="B67" s="514"/>
      <c r="C67" s="514"/>
      <c r="D67" s="514"/>
      <c r="J67" s="509"/>
      <c r="K67" s="509"/>
      <c r="L67" s="509"/>
      <c r="M67" s="509"/>
      <c r="N67" s="509"/>
      <c r="O67" s="509"/>
      <c r="P67" s="509"/>
      <c r="Q67" s="509"/>
    </row>
    <row r="68" spans="1:18" ht="16.5" thickBot="1">
      <c r="A68" s="552" t="s">
        <v>1367</v>
      </c>
      <c r="B68" s="509"/>
      <c r="C68" s="509"/>
      <c r="D68" s="509"/>
      <c r="E68" s="509"/>
      <c r="R68" s="509"/>
    </row>
    <row r="69" spans="1:18">
      <c r="A69" s="553"/>
      <c r="B69" s="555"/>
      <c r="C69" s="564"/>
      <c r="D69" s="555"/>
      <c r="E69" s="556"/>
      <c r="M69" s="510"/>
    </row>
    <row r="70" spans="1:18">
      <c r="A70" s="557"/>
      <c r="B70" s="508" t="s">
        <v>407</v>
      </c>
      <c r="C70" s="433">
        <f>+C61</f>
        <v>0</v>
      </c>
      <c r="D70" s="433"/>
      <c r="E70" s="558"/>
      <c r="I70" s="509"/>
      <c r="J70" s="515"/>
      <c r="K70" s="516"/>
      <c r="L70" s="516"/>
      <c r="M70" s="509"/>
      <c r="N70" s="509"/>
      <c r="O70" s="509"/>
      <c r="P70" s="509"/>
      <c r="Q70" s="509"/>
    </row>
    <row r="71" spans="1:18">
      <c r="A71" s="557"/>
      <c r="B71" s="508"/>
      <c r="C71" s="565"/>
      <c r="E71" s="558"/>
      <c r="I71" s="509"/>
      <c r="J71" s="515"/>
      <c r="K71" s="516"/>
      <c r="L71" s="516"/>
      <c r="M71" s="509"/>
      <c r="N71" s="509"/>
      <c r="O71" s="509"/>
      <c r="P71" s="509"/>
      <c r="Q71" s="509"/>
    </row>
    <row r="72" spans="1:18">
      <c r="A72" s="557"/>
      <c r="B72" s="508" t="s">
        <v>409</v>
      </c>
      <c r="C72" s="566">
        <f>+Operations!C12</f>
        <v>3499894.1999999993</v>
      </c>
      <c r="D72" s="567">
        <f>+C72/C74</f>
        <v>0.59584035056574269</v>
      </c>
      <c r="E72" s="558"/>
      <c r="I72" s="509"/>
      <c r="J72" s="509"/>
      <c r="K72" s="509"/>
      <c r="L72" s="509"/>
      <c r="M72" s="509"/>
      <c r="N72" s="509"/>
      <c r="O72" s="509"/>
      <c r="P72" s="509"/>
      <c r="Q72" s="509"/>
    </row>
    <row r="73" spans="1:18">
      <c r="A73" s="557"/>
      <c r="B73" s="508" t="s">
        <v>408</v>
      </c>
      <c r="C73" s="568">
        <f>+Operations!C14</f>
        <v>2373984.9299999997</v>
      </c>
      <c r="D73" s="567">
        <f>+C73/C74</f>
        <v>0.40415964943425725</v>
      </c>
      <c r="E73" s="558"/>
      <c r="I73" s="509"/>
      <c r="J73" s="509"/>
      <c r="K73" s="509"/>
      <c r="L73" s="509"/>
      <c r="M73" s="509"/>
      <c r="N73" s="509"/>
      <c r="O73" s="509"/>
      <c r="P73" s="509"/>
      <c r="Q73" s="509"/>
    </row>
    <row r="74" spans="1:18">
      <c r="A74" s="557"/>
      <c r="B74" s="508" t="s">
        <v>410</v>
      </c>
      <c r="C74" s="569">
        <f>+C72+C73</f>
        <v>5873879.129999999</v>
      </c>
      <c r="E74" s="558"/>
      <c r="I74" s="509"/>
      <c r="J74" s="509"/>
      <c r="K74" s="509"/>
      <c r="L74" s="509"/>
      <c r="M74" s="509"/>
      <c r="N74" s="509"/>
      <c r="O74" s="509"/>
      <c r="P74" s="509"/>
      <c r="Q74" s="509"/>
    </row>
    <row r="75" spans="1:18">
      <c r="A75" s="557"/>
      <c r="B75" s="508"/>
      <c r="C75" s="565"/>
      <c r="E75" s="558"/>
      <c r="J75" s="509"/>
      <c r="K75" s="509"/>
      <c r="L75" s="509"/>
      <c r="M75" s="509"/>
      <c r="N75" s="509"/>
      <c r="O75" s="509"/>
      <c r="P75" s="509"/>
      <c r="Q75" s="509"/>
    </row>
    <row r="76" spans="1:18">
      <c r="A76" s="557"/>
      <c r="B76" s="508" t="s">
        <v>411</v>
      </c>
      <c r="C76" s="570">
        <f>+C70*D72</f>
        <v>0</v>
      </c>
      <c r="E76" s="558"/>
      <c r="J76" s="509"/>
      <c r="K76" s="509"/>
      <c r="L76" s="509"/>
      <c r="M76" s="509"/>
      <c r="N76" s="509"/>
      <c r="O76" s="509"/>
      <c r="P76" s="509"/>
      <c r="Q76" s="509"/>
    </row>
    <row r="77" spans="1:18">
      <c r="A77" s="557"/>
      <c r="B77" s="508" t="s">
        <v>412</v>
      </c>
      <c r="C77" s="570">
        <f>+C70*D73</f>
        <v>0</v>
      </c>
      <c r="E77" s="558"/>
      <c r="F77" s="433"/>
      <c r="H77" s="433"/>
      <c r="I77" s="517"/>
      <c r="J77" s="509"/>
      <c r="K77" s="509"/>
      <c r="L77" s="509"/>
      <c r="M77" s="509"/>
      <c r="N77" s="509"/>
      <c r="O77" s="509"/>
      <c r="P77" s="509"/>
      <c r="Q77" s="509"/>
    </row>
    <row r="78" spans="1:18" ht="16.5" thickBot="1">
      <c r="A78" s="559"/>
      <c r="B78" s="560"/>
      <c r="C78" s="560"/>
      <c r="D78" s="560"/>
      <c r="E78" s="561"/>
      <c r="F78" s="433"/>
      <c r="H78" s="433"/>
      <c r="I78" s="517"/>
      <c r="J78" s="509"/>
      <c r="K78" s="509"/>
      <c r="L78" s="509"/>
      <c r="M78" s="509"/>
      <c r="N78" s="509"/>
      <c r="O78" s="509"/>
      <c r="P78" s="509"/>
      <c r="Q78" s="509"/>
    </row>
    <row r="79" spans="1:18">
      <c r="A79" s="513"/>
      <c r="B79" s="514"/>
      <c r="C79" s="514"/>
      <c r="D79" s="514"/>
      <c r="E79" s="508"/>
      <c r="F79" s="433"/>
      <c r="I79" s="509"/>
      <c r="J79" s="509"/>
      <c r="K79" s="509"/>
      <c r="L79" s="509"/>
      <c r="M79" s="509"/>
      <c r="N79" s="509"/>
      <c r="O79" s="509"/>
      <c r="P79" s="509"/>
      <c r="Q79" s="509"/>
    </row>
    <row r="80" spans="1:18">
      <c r="A80" s="513"/>
      <c r="B80" s="514"/>
      <c r="C80" s="514"/>
      <c r="D80" s="514"/>
      <c r="E80" s="508"/>
      <c r="F80" s="433"/>
      <c r="I80" s="509"/>
      <c r="J80" s="509"/>
      <c r="K80" s="509"/>
      <c r="L80" s="509"/>
      <c r="M80" s="509"/>
      <c r="N80" s="509"/>
      <c r="O80" s="509"/>
      <c r="P80" s="509"/>
      <c r="Q80" s="509"/>
    </row>
    <row r="81" spans="1:17">
      <c r="A81" s="513"/>
      <c r="B81" s="514"/>
      <c r="C81" s="514"/>
      <c r="D81" s="514"/>
      <c r="E81" s="508"/>
      <c r="F81" s="433"/>
      <c r="I81" s="509"/>
      <c r="J81" s="509"/>
      <c r="K81" s="509"/>
      <c r="L81" s="509"/>
      <c r="M81" s="509"/>
      <c r="N81" s="509"/>
      <c r="O81" s="509"/>
      <c r="P81" s="509"/>
      <c r="Q81" s="509"/>
    </row>
    <row r="82" spans="1:17">
      <c r="A82" s="513"/>
      <c r="B82" s="514"/>
      <c r="C82" s="514"/>
      <c r="D82" s="514"/>
      <c r="E82" s="508"/>
      <c r="I82" s="509"/>
      <c r="J82" s="509"/>
      <c r="K82" s="509"/>
      <c r="L82" s="509"/>
      <c r="M82" s="509"/>
      <c r="N82" s="509"/>
      <c r="O82" s="509"/>
      <c r="P82" s="509"/>
      <c r="Q82" s="509"/>
    </row>
    <row r="83" spans="1:17">
      <c r="A83" s="513"/>
      <c r="B83" s="514"/>
      <c r="C83" s="514"/>
      <c r="D83" s="514"/>
      <c r="E83" s="508"/>
      <c r="I83" s="509"/>
      <c r="J83" s="509"/>
      <c r="K83" s="509"/>
      <c r="L83" s="509"/>
      <c r="M83" s="509"/>
      <c r="N83" s="509"/>
      <c r="O83" s="509"/>
      <c r="P83" s="509"/>
      <c r="Q83" s="509"/>
    </row>
    <row r="84" spans="1:17">
      <c r="A84" s="513"/>
      <c r="B84" s="514"/>
      <c r="C84" s="514"/>
      <c r="D84" s="514"/>
      <c r="E84" s="508"/>
      <c r="I84" s="509"/>
      <c r="J84" s="509"/>
      <c r="K84" s="509"/>
      <c r="L84" s="509"/>
      <c r="M84" s="509"/>
      <c r="N84" s="509"/>
      <c r="O84" s="509"/>
      <c r="P84" s="509"/>
      <c r="Q84" s="509"/>
    </row>
    <row r="85" spans="1:17">
      <c r="A85" s="513"/>
      <c r="B85" s="514"/>
      <c r="C85" s="514"/>
      <c r="D85" s="514"/>
      <c r="E85" s="508"/>
      <c r="I85" s="509"/>
      <c r="J85" s="509"/>
      <c r="K85" s="509"/>
      <c r="L85" s="509"/>
      <c r="M85" s="509"/>
      <c r="N85" s="509"/>
      <c r="O85" s="509"/>
      <c r="P85" s="509"/>
      <c r="Q85" s="509"/>
    </row>
    <row r="86" spans="1:17">
      <c r="A86" s="513"/>
      <c r="B86" s="514"/>
      <c r="C86" s="514"/>
      <c r="D86" s="514"/>
      <c r="E86" s="508"/>
      <c r="I86" s="509"/>
      <c r="J86" s="509"/>
      <c r="K86" s="509"/>
      <c r="L86" s="509"/>
      <c r="M86" s="509"/>
      <c r="N86" s="509"/>
      <c r="O86" s="509"/>
      <c r="P86" s="509"/>
      <c r="Q86" s="509"/>
    </row>
    <row r="87" spans="1:17">
      <c r="A87" s="513"/>
      <c r="B87" s="514"/>
      <c r="C87" s="514"/>
      <c r="D87" s="514"/>
      <c r="E87" s="508"/>
      <c r="I87" s="509"/>
      <c r="J87" s="509"/>
      <c r="K87" s="509"/>
      <c r="L87" s="509"/>
      <c r="M87" s="509"/>
      <c r="N87" s="509"/>
      <c r="O87" s="509"/>
      <c r="P87" s="509"/>
      <c r="Q87" s="509"/>
    </row>
    <row r="88" spans="1:17">
      <c r="A88" s="513"/>
      <c r="B88" s="514"/>
      <c r="C88" s="514"/>
      <c r="D88" s="514"/>
      <c r="E88" s="508"/>
      <c r="I88" s="509"/>
      <c r="J88" s="509"/>
      <c r="K88" s="509"/>
      <c r="L88" s="509"/>
      <c r="M88" s="509"/>
      <c r="N88" s="509"/>
      <c r="O88" s="509"/>
      <c r="P88" s="509"/>
      <c r="Q88" s="509"/>
    </row>
    <row r="89" spans="1:17">
      <c r="A89" s="513"/>
      <c r="B89" s="514"/>
      <c r="C89" s="514"/>
      <c r="D89" s="514"/>
      <c r="E89" s="508"/>
      <c r="I89" s="509"/>
      <c r="J89" s="509"/>
      <c r="K89" s="509"/>
      <c r="L89" s="509"/>
      <c r="M89" s="509"/>
      <c r="N89" s="509"/>
      <c r="O89" s="509"/>
      <c r="P89" s="509"/>
      <c r="Q89" s="509"/>
    </row>
    <row r="90" spans="1:17">
      <c r="A90" s="513"/>
      <c r="B90" s="514"/>
      <c r="C90" s="514"/>
      <c r="D90" s="514"/>
      <c r="E90" s="508"/>
      <c r="I90" s="509"/>
      <c r="J90" s="509"/>
      <c r="K90" s="509"/>
      <c r="L90" s="509"/>
      <c r="M90" s="509"/>
      <c r="N90" s="509"/>
      <c r="O90" s="509"/>
      <c r="P90" s="509"/>
      <c r="Q90" s="509"/>
    </row>
    <row r="91" spans="1:17">
      <c r="A91" s="513"/>
      <c r="B91" s="514"/>
      <c r="C91" s="514"/>
      <c r="D91" s="514"/>
      <c r="J91" s="509"/>
      <c r="K91" s="512"/>
      <c r="L91" s="512"/>
      <c r="M91" s="509"/>
      <c r="N91" s="509"/>
      <c r="O91" s="509"/>
      <c r="P91" s="509"/>
      <c r="Q91" s="509"/>
    </row>
    <row r="92" spans="1:17">
      <c r="A92" s="513"/>
      <c r="B92" s="514"/>
      <c r="C92" s="514"/>
      <c r="D92" s="514"/>
      <c r="E92" s="508"/>
      <c r="F92" s="433"/>
      <c r="H92" s="433"/>
      <c r="I92" s="517"/>
      <c r="J92" s="509"/>
      <c r="K92" s="512"/>
      <c r="L92" s="512"/>
      <c r="M92" s="509"/>
      <c r="N92" s="509"/>
      <c r="O92" s="509"/>
      <c r="P92" s="509"/>
      <c r="Q92" s="509"/>
    </row>
    <row r="93" spans="1:17">
      <c r="A93" s="513"/>
      <c r="B93" s="514"/>
      <c r="C93" s="514"/>
      <c r="D93" s="514"/>
      <c r="E93" s="508"/>
      <c r="F93" s="433"/>
      <c r="H93" s="433"/>
      <c r="I93" s="517"/>
      <c r="J93" s="509"/>
      <c r="K93" s="512"/>
      <c r="L93" s="512"/>
      <c r="M93" s="509"/>
      <c r="N93" s="509"/>
      <c r="O93" s="509"/>
      <c r="P93" s="509"/>
      <c r="Q93" s="509"/>
    </row>
    <row r="94" spans="1:17">
      <c r="A94" s="513"/>
      <c r="B94" s="514"/>
      <c r="C94" s="514"/>
      <c r="D94" s="514"/>
      <c r="E94" s="508"/>
      <c r="J94" s="509"/>
      <c r="K94" s="512"/>
    </row>
    <row r="95" spans="1:17">
      <c r="A95" s="513"/>
      <c r="B95" s="514"/>
      <c r="C95" s="514"/>
      <c r="D95" s="514"/>
      <c r="E95" s="508"/>
      <c r="J95" s="509"/>
      <c r="K95" s="512"/>
    </row>
    <row r="96" spans="1:17">
      <c r="A96" s="513"/>
      <c r="B96" s="514"/>
      <c r="C96" s="514"/>
      <c r="D96" s="514"/>
      <c r="E96" s="508"/>
      <c r="J96" s="509"/>
      <c r="K96" s="512"/>
    </row>
    <row r="97" spans="1:11">
      <c r="A97" s="513"/>
      <c r="B97" s="514"/>
      <c r="C97" s="514"/>
      <c r="D97" s="514"/>
      <c r="E97" s="508"/>
      <c r="J97" s="515"/>
      <c r="K97" s="518"/>
    </row>
    <row r="98" spans="1:11">
      <c r="A98" s="513"/>
      <c r="B98" s="514"/>
      <c r="C98" s="514"/>
      <c r="D98" s="514"/>
      <c r="E98" s="508"/>
      <c r="J98" s="515"/>
      <c r="K98" s="518"/>
    </row>
    <row r="99" spans="1:11">
      <c r="A99" s="513"/>
      <c r="B99" s="514"/>
      <c r="C99" s="514"/>
      <c r="D99" s="514"/>
      <c r="E99" s="508"/>
      <c r="J99" s="515"/>
      <c r="K99" s="518"/>
    </row>
    <row r="100" spans="1:11">
      <c r="A100" s="513"/>
      <c r="B100" s="514"/>
      <c r="C100" s="514"/>
      <c r="D100" s="514"/>
      <c r="E100" s="508"/>
    </row>
    <row r="101" spans="1:11">
      <c r="A101" s="513"/>
      <c r="B101" s="514"/>
      <c r="C101" s="514"/>
      <c r="D101" s="514"/>
      <c r="E101" s="508"/>
    </row>
    <row r="102" spans="1:11">
      <c r="A102" s="513"/>
      <c r="B102" s="514"/>
      <c r="C102" s="514"/>
      <c r="D102" s="514"/>
      <c r="E102" s="508"/>
    </row>
    <row r="103" spans="1:11">
      <c r="A103" s="513"/>
      <c r="B103" s="514"/>
      <c r="C103" s="514"/>
      <c r="D103" s="514"/>
    </row>
    <row r="104" spans="1:11">
      <c r="A104" s="513"/>
      <c r="B104" s="514"/>
      <c r="C104" s="514"/>
      <c r="D104" s="514"/>
      <c r="E104" s="508"/>
      <c r="F104" s="433"/>
      <c r="H104" s="433"/>
      <c r="I104" s="517"/>
    </row>
    <row r="105" spans="1:11">
      <c r="A105" s="513"/>
      <c r="B105" s="514"/>
      <c r="C105" s="514"/>
      <c r="D105" s="514"/>
      <c r="E105" s="508"/>
      <c r="F105" s="433"/>
      <c r="H105" s="433"/>
      <c r="I105" s="517"/>
    </row>
    <row r="106" spans="1:11">
      <c r="A106" s="513"/>
      <c r="B106" s="514"/>
      <c r="C106" s="514"/>
      <c r="D106" s="514"/>
      <c r="E106" s="508"/>
      <c r="F106" s="433"/>
    </row>
    <row r="107" spans="1:11">
      <c r="A107" s="513"/>
      <c r="B107" s="514"/>
      <c r="C107" s="514"/>
      <c r="D107" s="514"/>
      <c r="E107" s="508"/>
      <c r="F107" s="433"/>
    </row>
    <row r="108" spans="1:11">
      <c r="A108" s="513"/>
      <c r="B108" s="514"/>
      <c r="C108" s="514"/>
      <c r="D108" s="514"/>
      <c r="E108" s="508"/>
      <c r="F108" s="433"/>
    </row>
    <row r="109" spans="1:11">
      <c r="A109" s="513"/>
      <c r="B109" s="514"/>
      <c r="C109" s="514"/>
      <c r="D109" s="514"/>
      <c r="E109" s="508"/>
    </row>
    <row r="110" spans="1:11">
      <c r="A110" s="513"/>
      <c r="B110" s="514"/>
      <c r="C110" s="514"/>
      <c r="D110" s="514"/>
      <c r="E110" s="508"/>
    </row>
    <row r="111" spans="1:11">
      <c r="A111" s="513"/>
      <c r="B111" s="514"/>
      <c r="C111" s="514"/>
      <c r="D111" s="514"/>
      <c r="E111" s="508"/>
    </row>
    <row r="112" spans="1:11">
      <c r="A112" s="513"/>
      <c r="B112" s="514"/>
      <c r="C112" s="514"/>
      <c r="D112" s="514"/>
      <c r="E112" s="508"/>
    </row>
    <row r="113" spans="1:9">
      <c r="A113" s="513"/>
      <c r="B113" s="514"/>
      <c r="C113" s="514"/>
      <c r="D113" s="514"/>
      <c r="E113" s="508"/>
    </row>
    <row r="114" spans="1:9">
      <c r="A114" s="513"/>
      <c r="B114" s="514"/>
      <c r="C114" s="514"/>
      <c r="D114" s="514"/>
      <c r="E114" s="508"/>
    </row>
    <row r="115" spans="1:9">
      <c r="A115" s="513"/>
      <c r="B115" s="514"/>
      <c r="C115" s="514"/>
      <c r="D115" s="514"/>
      <c r="E115" s="508"/>
    </row>
    <row r="116" spans="1:9">
      <c r="A116" s="513"/>
      <c r="B116" s="514"/>
      <c r="C116" s="514"/>
      <c r="D116" s="514"/>
      <c r="E116" s="508"/>
    </row>
    <row r="117" spans="1:9">
      <c r="A117" s="513"/>
      <c r="B117" s="514"/>
      <c r="C117" s="514"/>
      <c r="D117" s="514"/>
      <c r="E117" s="508"/>
    </row>
    <row r="118" spans="1:9">
      <c r="A118" s="513"/>
      <c r="B118" s="514"/>
      <c r="C118" s="514"/>
      <c r="D118" s="514"/>
      <c r="E118" s="508"/>
      <c r="F118" s="433"/>
      <c r="H118" s="433"/>
      <c r="I118" s="517"/>
    </row>
    <row r="119" spans="1:9">
      <c r="A119" s="513"/>
      <c r="B119" s="514"/>
      <c r="C119" s="514"/>
      <c r="D119" s="514"/>
      <c r="E119" s="508"/>
      <c r="F119" s="433"/>
      <c r="H119" s="433"/>
      <c r="I119" s="517"/>
    </row>
    <row r="120" spans="1:9">
      <c r="A120" s="513"/>
      <c r="B120" s="514"/>
      <c r="C120" s="514"/>
      <c r="D120" s="514"/>
      <c r="E120" s="508"/>
      <c r="F120" s="433"/>
      <c r="H120" s="433"/>
      <c r="I120" s="517"/>
    </row>
    <row r="121" spans="1:9">
      <c r="A121" s="513"/>
      <c r="B121" s="514"/>
      <c r="C121" s="514"/>
      <c r="D121" s="514"/>
      <c r="E121" s="508"/>
    </row>
    <row r="122" spans="1:9">
      <c r="A122" s="513"/>
      <c r="B122" s="514"/>
      <c r="C122" s="514"/>
      <c r="D122" s="514"/>
      <c r="E122" s="508"/>
    </row>
    <row r="123" spans="1:9">
      <c r="A123" s="513"/>
      <c r="B123" s="514"/>
      <c r="C123" s="514"/>
      <c r="D123" s="514"/>
      <c r="E123" s="508"/>
    </row>
    <row r="124" spans="1:9">
      <c r="A124" s="513"/>
      <c r="B124" s="514"/>
      <c r="C124" s="514"/>
      <c r="D124" s="514"/>
      <c r="E124" s="508"/>
    </row>
    <row r="125" spans="1:9">
      <c r="A125" s="513"/>
      <c r="B125" s="514"/>
      <c r="C125" s="514"/>
      <c r="D125" s="514"/>
      <c r="E125" s="508"/>
    </row>
    <row r="126" spans="1:9">
      <c r="A126" s="513"/>
      <c r="B126" s="514"/>
      <c r="C126" s="514"/>
      <c r="D126" s="514"/>
      <c r="E126" s="508"/>
    </row>
    <row r="127" spans="1:9">
      <c r="A127" s="513"/>
      <c r="B127" s="514"/>
      <c r="C127" s="514"/>
      <c r="D127" s="514"/>
      <c r="E127" s="508"/>
    </row>
    <row r="128" spans="1:9">
      <c r="A128" s="513"/>
      <c r="B128" s="514"/>
      <c r="C128" s="514"/>
      <c r="D128" s="514"/>
      <c r="E128" s="508"/>
    </row>
    <row r="129" spans="1:9">
      <c r="A129" s="513"/>
      <c r="B129" s="514"/>
      <c r="C129" s="514"/>
      <c r="D129" s="514"/>
      <c r="E129" s="508"/>
    </row>
    <row r="130" spans="1:9">
      <c r="A130" s="513"/>
      <c r="B130" s="514"/>
      <c r="C130" s="514"/>
      <c r="D130" s="514"/>
    </row>
    <row r="131" spans="1:9">
      <c r="A131" s="513"/>
      <c r="B131" s="514"/>
      <c r="C131" s="514"/>
      <c r="D131" s="514"/>
      <c r="E131" s="508"/>
      <c r="F131" s="433"/>
      <c r="H131" s="433"/>
      <c r="I131" s="517"/>
    </row>
    <row r="132" spans="1:9">
      <c r="A132" s="513"/>
      <c r="B132" s="514"/>
      <c r="C132" s="514"/>
      <c r="D132" s="514"/>
      <c r="E132" s="508"/>
      <c r="F132" s="433"/>
      <c r="H132" s="433"/>
      <c r="I132" s="517"/>
    </row>
    <row r="133" spans="1:9">
      <c r="A133" s="513"/>
      <c r="B133" s="514"/>
      <c r="C133" s="514"/>
      <c r="D133" s="514"/>
      <c r="E133" s="508"/>
      <c r="F133" s="433"/>
    </row>
    <row r="134" spans="1:9">
      <c r="A134" s="513"/>
      <c r="B134" s="514"/>
      <c r="C134" s="514"/>
      <c r="D134" s="514"/>
      <c r="E134" s="508"/>
      <c r="F134" s="433"/>
    </row>
    <row r="135" spans="1:9">
      <c r="A135" s="513"/>
      <c r="B135" s="514"/>
      <c r="C135" s="514"/>
      <c r="D135" s="514"/>
      <c r="E135" s="508"/>
      <c r="F135" s="433"/>
    </row>
    <row r="136" spans="1:9">
      <c r="A136" s="513"/>
      <c r="B136" s="514"/>
      <c r="C136" s="514"/>
      <c r="D136" s="514"/>
      <c r="E136" s="508"/>
    </row>
    <row r="137" spans="1:9">
      <c r="A137" s="513"/>
      <c r="B137" s="514"/>
      <c r="C137" s="514"/>
      <c r="D137" s="514"/>
      <c r="E137" s="508"/>
    </row>
    <row r="138" spans="1:9">
      <c r="A138" s="513"/>
      <c r="B138" s="514"/>
      <c r="C138" s="514"/>
      <c r="D138" s="514"/>
      <c r="E138" s="508"/>
    </row>
    <row r="139" spans="1:9">
      <c r="A139" s="513"/>
      <c r="B139" s="514"/>
      <c r="C139" s="514"/>
      <c r="D139" s="514"/>
      <c r="E139" s="508"/>
    </row>
    <row r="140" spans="1:9">
      <c r="A140" s="513"/>
      <c r="B140" s="514"/>
      <c r="C140" s="514"/>
      <c r="D140" s="514"/>
      <c r="E140" s="508"/>
    </row>
    <row r="141" spans="1:9">
      <c r="A141" s="513"/>
      <c r="B141" s="514"/>
      <c r="C141" s="514"/>
      <c r="D141" s="514"/>
      <c r="E141" s="508"/>
    </row>
    <row r="142" spans="1:9">
      <c r="A142" s="513"/>
      <c r="B142" s="514"/>
      <c r="C142" s="514"/>
      <c r="D142" s="514"/>
    </row>
    <row r="143" spans="1:9">
      <c r="A143" s="513"/>
      <c r="B143" s="514"/>
      <c r="C143" s="514"/>
      <c r="D143" s="514"/>
      <c r="E143" s="508"/>
      <c r="F143" s="433"/>
      <c r="H143" s="433"/>
      <c r="I143" s="517"/>
    </row>
    <row r="144" spans="1:9">
      <c r="A144" s="513"/>
      <c r="B144" s="514"/>
      <c r="C144" s="514"/>
      <c r="D144" s="514"/>
      <c r="E144" s="508"/>
      <c r="F144" s="433"/>
      <c r="H144" s="433"/>
      <c r="I144" s="517"/>
    </row>
    <row r="145" spans="1:9">
      <c r="A145" s="513"/>
      <c r="B145" s="514"/>
      <c r="C145" s="514"/>
      <c r="D145" s="514"/>
      <c r="E145" s="508"/>
      <c r="F145" s="433"/>
    </row>
    <row r="146" spans="1:9">
      <c r="A146" s="513"/>
      <c r="B146" s="514"/>
      <c r="C146" s="514"/>
      <c r="D146" s="514"/>
      <c r="E146" s="508"/>
      <c r="F146" s="433"/>
    </row>
    <row r="147" spans="1:9">
      <c r="A147" s="513"/>
      <c r="B147" s="514"/>
      <c r="C147" s="514"/>
      <c r="D147" s="514"/>
      <c r="E147" s="508"/>
      <c r="F147" s="433"/>
    </row>
    <row r="148" spans="1:9">
      <c r="A148" s="513"/>
      <c r="B148" s="514"/>
      <c r="C148" s="514"/>
      <c r="D148" s="514"/>
      <c r="E148" s="508"/>
    </row>
    <row r="149" spans="1:9">
      <c r="A149" s="513"/>
      <c r="B149" s="514"/>
      <c r="C149" s="514"/>
      <c r="D149" s="514"/>
      <c r="E149" s="508"/>
    </row>
    <row r="150" spans="1:9">
      <c r="A150" s="513"/>
      <c r="B150" s="514"/>
      <c r="C150" s="514"/>
      <c r="D150" s="514"/>
      <c r="E150" s="508"/>
    </row>
    <row r="151" spans="1:9">
      <c r="A151" s="513"/>
      <c r="B151" s="514"/>
      <c r="C151" s="514"/>
      <c r="D151" s="514"/>
      <c r="E151" s="508"/>
    </row>
    <row r="152" spans="1:9">
      <c r="A152" s="513"/>
      <c r="B152" s="514"/>
      <c r="C152" s="514"/>
      <c r="D152" s="514"/>
      <c r="E152" s="508"/>
    </row>
    <row r="153" spans="1:9">
      <c r="A153" s="513"/>
      <c r="B153" s="514"/>
      <c r="C153" s="514"/>
      <c r="D153" s="514"/>
      <c r="E153" s="508"/>
    </row>
    <row r="154" spans="1:9">
      <c r="A154" s="513"/>
      <c r="B154" s="514"/>
      <c r="C154" s="514"/>
      <c r="D154" s="514"/>
      <c r="E154" s="508"/>
    </row>
    <row r="155" spans="1:9">
      <c r="A155" s="513"/>
      <c r="B155" s="514"/>
      <c r="C155" s="514"/>
      <c r="D155" s="514"/>
      <c r="E155" s="508"/>
    </row>
    <row r="156" spans="1:9">
      <c r="A156" s="513"/>
      <c r="B156" s="514"/>
      <c r="C156" s="514"/>
      <c r="D156" s="514"/>
      <c r="E156" s="508"/>
    </row>
    <row r="157" spans="1:9">
      <c r="A157" s="513"/>
      <c r="B157" s="514"/>
      <c r="C157" s="514"/>
      <c r="D157" s="514"/>
      <c r="E157" s="508"/>
      <c r="F157" s="433"/>
      <c r="H157" s="433"/>
      <c r="I157" s="517"/>
    </row>
    <row r="158" spans="1:9">
      <c r="A158" s="513"/>
      <c r="B158" s="514"/>
      <c r="C158" s="514"/>
      <c r="D158" s="514"/>
      <c r="E158" s="508"/>
      <c r="F158" s="433"/>
      <c r="H158" s="433"/>
      <c r="I158" s="517"/>
    </row>
    <row r="159" spans="1:9">
      <c r="A159" s="513"/>
      <c r="B159" s="514"/>
      <c r="C159" s="514"/>
      <c r="D159" s="514"/>
      <c r="E159" s="508"/>
      <c r="F159" s="433"/>
      <c r="H159" s="433"/>
      <c r="I159" s="517"/>
    </row>
    <row r="160" spans="1:9">
      <c r="A160" s="513"/>
      <c r="B160" s="514"/>
      <c r="C160" s="514"/>
      <c r="D160" s="514"/>
      <c r="E160" s="508"/>
    </row>
    <row r="161" spans="1:9">
      <c r="A161" s="513"/>
      <c r="B161" s="514"/>
      <c r="C161" s="514"/>
      <c r="D161" s="514"/>
      <c r="E161" s="508"/>
    </row>
    <row r="162" spans="1:9">
      <c r="A162" s="513"/>
      <c r="B162" s="514"/>
      <c r="C162" s="514"/>
      <c r="D162" s="514"/>
      <c r="E162" s="508"/>
    </row>
    <row r="163" spans="1:9">
      <c r="A163" s="513"/>
      <c r="B163" s="514"/>
      <c r="C163" s="514"/>
      <c r="D163" s="514"/>
      <c r="E163" s="508"/>
    </row>
    <row r="164" spans="1:9">
      <c r="A164" s="513"/>
      <c r="B164" s="514"/>
      <c r="C164" s="514"/>
      <c r="D164" s="514"/>
      <c r="E164" s="508"/>
    </row>
    <row r="165" spans="1:9">
      <c r="A165" s="513"/>
      <c r="B165" s="514"/>
      <c r="C165" s="514"/>
      <c r="D165" s="514"/>
      <c r="E165" s="508"/>
    </row>
    <row r="166" spans="1:9">
      <c r="A166" s="513"/>
      <c r="B166" s="514"/>
      <c r="C166" s="514"/>
      <c r="D166" s="514"/>
      <c r="E166" s="508"/>
    </row>
    <row r="167" spans="1:9">
      <c r="A167" s="513"/>
      <c r="B167" s="514"/>
      <c r="C167" s="514"/>
      <c r="D167" s="514"/>
      <c r="E167" s="508"/>
    </row>
    <row r="168" spans="1:9">
      <c r="A168" s="513"/>
      <c r="B168" s="514"/>
      <c r="C168" s="514"/>
      <c r="D168" s="514"/>
      <c r="E168" s="508"/>
    </row>
    <row r="169" spans="1:9">
      <c r="A169" s="513"/>
      <c r="B169" s="514"/>
      <c r="C169" s="514"/>
      <c r="D169" s="514"/>
    </row>
    <row r="170" spans="1:9">
      <c r="A170" s="513"/>
      <c r="B170" s="514"/>
      <c r="C170" s="514"/>
      <c r="D170" s="514"/>
      <c r="E170" s="508"/>
      <c r="F170" s="433"/>
      <c r="H170" s="433"/>
      <c r="I170" s="517"/>
    </row>
    <row r="171" spans="1:9">
      <c r="A171" s="513"/>
      <c r="B171" s="514"/>
      <c r="C171" s="514"/>
      <c r="D171" s="514"/>
      <c r="E171" s="508"/>
      <c r="F171" s="433"/>
      <c r="H171" s="433"/>
      <c r="I171" s="517"/>
    </row>
    <row r="172" spans="1:9">
      <c r="A172" s="513"/>
      <c r="B172" s="514"/>
      <c r="C172" s="514"/>
      <c r="D172" s="514"/>
      <c r="E172" s="508"/>
    </row>
    <row r="173" spans="1:9">
      <c r="A173" s="513"/>
      <c r="B173" s="514"/>
      <c r="C173" s="514"/>
      <c r="D173" s="514"/>
      <c r="E173" s="508"/>
    </row>
    <row r="174" spans="1:9">
      <c r="A174" s="513"/>
      <c r="B174" s="514"/>
      <c r="C174" s="514"/>
      <c r="D174" s="514"/>
      <c r="E174" s="508"/>
    </row>
    <row r="175" spans="1:9">
      <c r="A175" s="513"/>
      <c r="B175" s="514"/>
      <c r="C175" s="514"/>
      <c r="D175" s="514"/>
      <c r="E175" s="508"/>
    </row>
    <row r="176" spans="1:9">
      <c r="A176" s="513"/>
      <c r="B176" s="514"/>
      <c r="C176" s="514"/>
      <c r="D176" s="514"/>
      <c r="E176" s="508"/>
    </row>
    <row r="177" spans="1:9">
      <c r="A177" s="513"/>
      <c r="B177" s="514"/>
      <c r="C177" s="514"/>
      <c r="D177" s="514"/>
      <c r="E177" s="508"/>
    </row>
    <row r="178" spans="1:9">
      <c r="A178" s="513"/>
      <c r="B178" s="514"/>
      <c r="C178" s="514"/>
      <c r="D178" s="514"/>
      <c r="E178" s="508"/>
    </row>
    <row r="179" spans="1:9">
      <c r="A179" s="513"/>
      <c r="B179" s="514"/>
      <c r="C179" s="514"/>
      <c r="D179" s="514"/>
      <c r="E179" s="508"/>
    </row>
    <row r="180" spans="1:9">
      <c r="A180" s="513"/>
      <c r="B180" s="514"/>
      <c r="C180" s="514"/>
      <c r="D180" s="514"/>
      <c r="E180" s="508"/>
    </row>
    <row r="181" spans="1:9">
      <c r="A181" s="513"/>
      <c r="B181" s="514"/>
      <c r="C181" s="514"/>
      <c r="D181" s="514"/>
    </row>
    <row r="182" spans="1:9">
      <c r="A182" s="513"/>
      <c r="B182" s="514"/>
      <c r="C182" s="514"/>
      <c r="D182" s="514"/>
      <c r="E182" s="508"/>
      <c r="F182" s="433"/>
      <c r="H182" s="433"/>
      <c r="I182" s="517"/>
    </row>
    <row r="183" spans="1:9">
      <c r="A183" s="513"/>
      <c r="B183" s="514"/>
      <c r="C183" s="514"/>
      <c r="D183" s="514"/>
      <c r="E183" s="508"/>
      <c r="F183" s="433"/>
      <c r="H183" s="433"/>
      <c r="I183" s="517"/>
    </row>
    <row r="184" spans="1:9">
      <c r="A184" s="513"/>
      <c r="B184" s="514"/>
      <c r="C184" s="514"/>
      <c r="D184" s="514"/>
      <c r="E184" s="508"/>
      <c r="F184" s="433"/>
    </row>
    <row r="185" spans="1:9">
      <c r="A185" s="513"/>
      <c r="B185" s="514"/>
      <c r="C185" s="514"/>
      <c r="D185" s="514"/>
      <c r="E185" s="508"/>
      <c r="F185" s="433"/>
    </row>
    <row r="186" spans="1:9">
      <c r="A186" s="513"/>
      <c r="B186" s="514"/>
      <c r="C186" s="514"/>
      <c r="D186" s="514"/>
      <c r="E186" s="508"/>
      <c r="F186" s="433"/>
    </row>
    <row r="187" spans="1:9">
      <c r="A187" s="513"/>
      <c r="B187" s="514"/>
      <c r="C187" s="514"/>
      <c r="D187" s="514"/>
      <c r="E187" s="508"/>
    </row>
    <row r="188" spans="1:9">
      <c r="A188" s="513"/>
      <c r="B188" s="514"/>
      <c r="C188" s="514"/>
      <c r="D188" s="514"/>
      <c r="E188" s="508"/>
    </row>
    <row r="189" spans="1:9">
      <c r="A189" s="513"/>
      <c r="B189" s="514"/>
      <c r="C189" s="514"/>
      <c r="D189" s="514"/>
      <c r="E189" s="508"/>
    </row>
    <row r="190" spans="1:9">
      <c r="A190" s="513"/>
      <c r="B190" s="514"/>
      <c r="C190" s="514"/>
      <c r="D190" s="514"/>
      <c r="E190" s="508"/>
    </row>
    <row r="191" spans="1:9">
      <c r="A191" s="513"/>
      <c r="B191" s="514"/>
      <c r="C191" s="514"/>
      <c r="D191" s="514"/>
      <c r="E191" s="508"/>
    </row>
    <row r="192" spans="1:9">
      <c r="A192" s="513"/>
      <c r="B192" s="514"/>
      <c r="C192" s="514"/>
      <c r="D192" s="514"/>
      <c r="E192" s="508"/>
    </row>
    <row r="193" spans="1:9">
      <c r="A193" s="513"/>
      <c r="B193" s="514"/>
      <c r="C193" s="514"/>
      <c r="D193" s="514"/>
    </row>
    <row r="194" spans="1:9">
      <c r="A194" s="513"/>
      <c r="B194" s="514"/>
      <c r="C194" s="514"/>
      <c r="D194" s="514"/>
      <c r="E194" s="508"/>
      <c r="F194" s="433"/>
      <c r="H194" s="433"/>
      <c r="I194" s="517"/>
    </row>
    <row r="195" spans="1:9">
      <c r="A195" s="513"/>
      <c r="B195" s="514"/>
      <c r="C195" s="514"/>
      <c r="D195" s="514"/>
      <c r="E195" s="508"/>
      <c r="F195" s="433"/>
      <c r="H195" s="433"/>
      <c r="I195" s="517"/>
    </row>
    <row r="196" spans="1:9">
      <c r="A196" s="513"/>
      <c r="B196" s="514"/>
      <c r="C196" s="514"/>
      <c r="D196" s="514"/>
      <c r="E196" s="508"/>
      <c r="F196" s="433"/>
    </row>
    <row r="197" spans="1:9">
      <c r="A197" s="513"/>
      <c r="B197" s="514"/>
      <c r="C197" s="514"/>
      <c r="D197" s="514"/>
      <c r="E197" s="508"/>
      <c r="F197" s="433"/>
    </row>
    <row r="198" spans="1:9">
      <c r="A198" s="513"/>
      <c r="B198" s="514"/>
      <c r="C198" s="514"/>
      <c r="D198" s="514"/>
      <c r="E198" s="508"/>
      <c r="F198" s="433"/>
    </row>
    <row r="199" spans="1:9">
      <c r="A199" s="513"/>
      <c r="B199" s="514"/>
      <c r="C199" s="514"/>
      <c r="D199" s="514"/>
      <c r="E199" s="508"/>
    </row>
    <row r="200" spans="1:9">
      <c r="A200" s="513"/>
      <c r="B200" s="514"/>
      <c r="C200" s="514"/>
      <c r="D200" s="514"/>
      <c r="E200" s="508"/>
    </row>
    <row r="201" spans="1:9">
      <c r="A201" s="513"/>
      <c r="B201" s="514"/>
      <c r="C201" s="514"/>
      <c r="D201" s="514"/>
      <c r="E201" s="508"/>
    </row>
    <row r="202" spans="1:9">
      <c r="A202" s="513"/>
      <c r="B202" s="514"/>
      <c r="C202" s="514"/>
      <c r="D202" s="514"/>
      <c r="E202" s="508"/>
    </row>
    <row r="203" spans="1:9">
      <c r="A203" s="513"/>
      <c r="B203" s="514"/>
      <c r="C203" s="514"/>
      <c r="D203" s="514"/>
      <c r="E203" s="508"/>
    </row>
    <row r="204" spans="1:9">
      <c r="A204" s="513"/>
      <c r="B204" s="514"/>
      <c r="C204" s="514"/>
      <c r="D204" s="514"/>
      <c r="E204" s="508"/>
    </row>
    <row r="205" spans="1:9">
      <c r="A205" s="513"/>
      <c r="B205" s="514"/>
      <c r="C205" s="514"/>
      <c r="D205" s="514"/>
      <c r="E205" s="508"/>
    </row>
    <row r="206" spans="1:9">
      <c r="A206" s="513"/>
      <c r="B206" s="514"/>
      <c r="C206" s="514"/>
      <c r="D206" s="514"/>
      <c r="E206" s="508"/>
    </row>
    <row r="207" spans="1:9">
      <c r="A207" s="513"/>
      <c r="B207" s="514"/>
      <c r="C207" s="514"/>
      <c r="D207" s="514"/>
      <c r="E207" s="508"/>
    </row>
    <row r="208" spans="1:9">
      <c r="A208" s="513"/>
      <c r="B208" s="514"/>
      <c r="C208" s="514"/>
      <c r="D208" s="514"/>
    </row>
    <row r="209" spans="1:22">
      <c r="A209" s="513"/>
      <c r="B209" s="514"/>
      <c r="C209" s="514"/>
      <c r="D209" s="514"/>
      <c r="E209" s="508"/>
      <c r="F209" s="433"/>
      <c r="H209" s="433"/>
      <c r="I209" s="517"/>
    </row>
    <row r="210" spans="1:22">
      <c r="A210" s="519"/>
      <c r="B210" s="514"/>
      <c r="C210" s="514"/>
      <c r="D210" s="514"/>
      <c r="F210" s="433"/>
      <c r="G210" s="433"/>
    </row>
    <row r="212" spans="1:22" customFormat="1">
      <c r="A212" s="430"/>
      <c r="B212" s="430"/>
      <c r="C212" s="430"/>
      <c r="D212" s="430"/>
      <c r="S212" s="430"/>
      <c r="T212" s="430"/>
      <c r="U212" s="430"/>
      <c r="V212" s="430"/>
    </row>
    <row r="213" spans="1:22" customFormat="1">
      <c r="A213" s="430"/>
      <c r="B213" s="430"/>
      <c r="C213" s="430"/>
      <c r="D213" s="430"/>
    </row>
    <row r="214" spans="1:22" customFormat="1">
      <c r="A214" s="430"/>
      <c r="B214" s="430"/>
      <c r="C214" s="430"/>
      <c r="D214" s="430"/>
    </row>
    <row r="215" spans="1:22" customFormat="1">
      <c r="A215" s="430"/>
      <c r="B215" s="430"/>
      <c r="C215" s="430"/>
      <c r="D215" s="430"/>
      <c r="I215" s="430"/>
      <c r="J215" s="430"/>
      <c r="K215" s="430"/>
    </row>
    <row r="216" spans="1:22" customFormat="1">
      <c r="A216" s="981"/>
      <c r="B216" s="981"/>
      <c r="C216" s="981"/>
      <c r="D216" s="981"/>
      <c r="I216" s="430"/>
      <c r="J216" s="430"/>
      <c r="K216" s="430"/>
    </row>
    <row r="217" spans="1:22" customFormat="1">
      <c r="A217" s="432"/>
      <c r="B217" s="432"/>
      <c r="C217" s="432"/>
      <c r="D217" s="432"/>
      <c r="F217" s="430"/>
      <c r="G217" s="437"/>
      <c r="I217" s="437"/>
      <c r="J217" s="520"/>
      <c r="K217" s="430"/>
    </row>
    <row r="218" spans="1:22" customFormat="1">
      <c r="A218" s="513"/>
      <c r="B218" s="521"/>
    </row>
    <row r="219" spans="1:22" customFormat="1">
      <c r="A219" s="513"/>
      <c r="B219" s="521"/>
    </row>
    <row r="220" spans="1:22" customFormat="1">
      <c r="A220" s="513"/>
      <c r="B220" s="521"/>
    </row>
    <row r="221" spans="1:22" customFormat="1">
      <c r="A221" s="513"/>
      <c r="B221" s="521"/>
    </row>
    <row r="222" spans="1:22" customFormat="1">
      <c r="A222" s="513"/>
      <c r="B222" s="521"/>
    </row>
    <row r="223" spans="1:22" customFormat="1">
      <c r="A223" s="513"/>
      <c r="B223" s="521"/>
    </row>
    <row r="224" spans="1:22" customFormat="1">
      <c r="A224" s="513"/>
      <c r="B224" s="521"/>
    </row>
    <row r="225" spans="1:7" customFormat="1">
      <c r="A225" s="513"/>
      <c r="B225" s="521"/>
      <c r="D225" s="521"/>
      <c r="F225" s="522"/>
      <c r="G225" s="522"/>
    </row>
    <row r="226" spans="1:7" customFormat="1">
      <c r="A226" s="513"/>
      <c r="B226" s="521"/>
    </row>
    <row r="227" spans="1:7" customFormat="1">
      <c r="A227" s="513"/>
      <c r="B227" s="521"/>
    </row>
    <row r="228" spans="1:7" customFormat="1">
      <c r="A228" s="513"/>
      <c r="B228" s="521"/>
    </row>
    <row r="229" spans="1:7" customFormat="1">
      <c r="A229" s="513"/>
      <c r="B229" s="521"/>
    </row>
    <row r="230" spans="1:7" customFormat="1">
      <c r="A230" s="513"/>
      <c r="B230" s="521"/>
    </row>
    <row r="231" spans="1:7" customFormat="1">
      <c r="A231" s="513"/>
      <c r="B231" s="521"/>
    </row>
    <row r="232" spans="1:7" customFormat="1">
      <c r="A232" s="513"/>
      <c r="B232" s="521"/>
    </row>
    <row r="233" spans="1:7" customFormat="1">
      <c r="A233" s="513"/>
      <c r="B233" s="521"/>
    </row>
    <row r="234" spans="1:7" customFormat="1">
      <c r="A234" s="513"/>
      <c r="B234" s="521"/>
      <c r="D234" s="521"/>
      <c r="F234" s="522"/>
      <c r="G234" s="522"/>
    </row>
    <row r="235" spans="1:7" customFormat="1">
      <c r="A235" s="513"/>
      <c r="B235" s="521"/>
    </row>
    <row r="236" spans="1:7" customFormat="1">
      <c r="A236" s="513"/>
      <c r="B236" s="521"/>
    </row>
    <row r="237" spans="1:7" customFormat="1">
      <c r="A237" s="513"/>
      <c r="B237" s="521"/>
    </row>
    <row r="238" spans="1:7" customFormat="1">
      <c r="A238" s="513"/>
      <c r="B238" s="521"/>
    </row>
    <row r="239" spans="1:7" customFormat="1">
      <c r="A239" s="513"/>
      <c r="B239" s="521"/>
    </row>
    <row r="240" spans="1:7" customFormat="1">
      <c r="A240" s="513"/>
      <c r="B240" s="521"/>
    </row>
    <row r="241" spans="1:7" customFormat="1">
      <c r="A241" s="513"/>
      <c r="B241" s="521"/>
    </row>
    <row r="242" spans="1:7" customFormat="1">
      <c r="A242" s="513"/>
      <c r="B242" s="521"/>
    </row>
    <row r="243" spans="1:7" customFormat="1">
      <c r="A243" s="513"/>
      <c r="B243" s="521"/>
      <c r="D243" s="521"/>
      <c r="F243" s="522"/>
      <c r="G243" s="522"/>
    </row>
    <row r="244" spans="1:7" customFormat="1">
      <c r="A244" s="513"/>
      <c r="B244" s="521"/>
    </row>
    <row r="245" spans="1:7" customFormat="1">
      <c r="A245" s="513"/>
      <c r="B245" s="521"/>
    </row>
    <row r="246" spans="1:7" customFormat="1">
      <c r="A246" s="513"/>
      <c r="B246" s="521"/>
    </row>
    <row r="247" spans="1:7" customFormat="1">
      <c r="A247" s="513"/>
      <c r="B247" s="521"/>
    </row>
    <row r="248" spans="1:7" customFormat="1">
      <c r="A248" s="513"/>
      <c r="B248" s="521"/>
    </row>
    <row r="249" spans="1:7" customFormat="1">
      <c r="A249" s="513"/>
      <c r="B249" s="521"/>
    </row>
    <row r="250" spans="1:7" customFormat="1">
      <c r="A250" s="513"/>
      <c r="B250" s="521"/>
    </row>
    <row r="251" spans="1:7" customFormat="1">
      <c r="A251" s="513"/>
      <c r="B251" s="521"/>
    </row>
    <row r="252" spans="1:7" customFormat="1">
      <c r="A252" s="513"/>
      <c r="B252" s="521"/>
      <c r="D252" s="521"/>
      <c r="F252" s="522"/>
      <c r="G252" s="522"/>
    </row>
    <row r="253" spans="1:7" customFormat="1">
      <c r="A253" s="513"/>
      <c r="B253" s="521"/>
    </row>
    <row r="254" spans="1:7" customFormat="1">
      <c r="A254" s="513"/>
      <c r="B254" s="521"/>
    </row>
    <row r="255" spans="1:7" customFormat="1">
      <c r="A255" s="513"/>
      <c r="B255" s="521"/>
    </row>
    <row r="256" spans="1:7" customFormat="1">
      <c r="A256" s="513"/>
      <c r="B256" s="521"/>
    </row>
    <row r="257" spans="1:7" customFormat="1">
      <c r="A257" s="513"/>
      <c r="B257" s="521"/>
    </row>
    <row r="258" spans="1:7" customFormat="1">
      <c r="A258" s="513"/>
      <c r="B258" s="521"/>
    </row>
    <row r="259" spans="1:7" customFormat="1">
      <c r="A259" s="513"/>
      <c r="B259" s="521"/>
    </row>
    <row r="260" spans="1:7" customFormat="1">
      <c r="A260" s="513"/>
      <c r="B260" s="521"/>
    </row>
    <row r="261" spans="1:7" customFormat="1">
      <c r="A261" s="513"/>
      <c r="B261" s="521"/>
      <c r="D261" s="521"/>
      <c r="F261" s="522"/>
      <c r="G261" s="522"/>
    </row>
    <row r="262" spans="1:7" customFormat="1">
      <c r="A262" s="513"/>
      <c r="B262" s="521"/>
    </row>
    <row r="263" spans="1:7" customFormat="1">
      <c r="A263" s="513"/>
      <c r="B263" s="521"/>
    </row>
    <row r="264" spans="1:7" customFormat="1">
      <c r="A264" s="513"/>
      <c r="B264" s="521"/>
    </row>
    <row r="265" spans="1:7" customFormat="1">
      <c r="A265" s="513"/>
      <c r="B265" s="521"/>
    </row>
    <row r="266" spans="1:7" customFormat="1">
      <c r="A266" s="513"/>
      <c r="B266" s="521"/>
    </row>
    <row r="267" spans="1:7" customFormat="1">
      <c r="A267" s="513"/>
      <c r="B267" s="521"/>
    </row>
    <row r="268" spans="1:7" customFormat="1">
      <c r="A268" s="513"/>
      <c r="B268" s="521"/>
    </row>
    <row r="269" spans="1:7" customFormat="1">
      <c r="A269" s="513"/>
      <c r="B269" s="521"/>
      <c r="D269" s="521"/>
      <c r="F269" s="522"/>
      <c r="G269" s="522"/>
    </row>
    <row r="270" spans="1:7" customFormat="1">
      <c r="A270" s="513"/>
      <c r="B270" s="521"/>
    </row>
    <row r="271" spans="1:7" customFormat="1">
      <c r="A271" s="513"/>
      <c r="B271" s="521"/>
    </row>
    <row r="272" spans="1:7" customFormat="1">
      <c r="A272" s="513"/>
      <c r="B272" s="521"/>
    </row>
    <row r="273" spans="1:7" customFormat="1">
      <c r="A273" s="513"/>
      <c r="B273" s="521"/>
    </row>
    <row r="274" spans="1:7" customFormat="1">
      <c r="A274" s="513"/>
      <c r="B274" s="521"/>
    </row>
    <row r="275" spans="1:7" customFormat="1">
      <c r="A275" s="513"/>
      <c r="B275" s="521"/>
    </row>
    <row r="276" spans="1:7" customFormat="1">
      <c r="A276" s="513"/>
      <c r="B276" s="521"/>
    </row>
    <row r="277" spans="1:7" customFormat="1">
      <c r="A277" s="513"/>
      <c r="B277" s="521"/>
    </row>
    <row r="278" spans="1:7" customFormat="1">
      <c r="A278" s="513"/>
      <c r="B278" s="521"/>
      <c r="D278" s="521"/>
      <c r="F278" s="522"/>
      <c r="G278" s="522"/>
    </row>
    <row r="279" spans="1:7" customFormat="1">
      <c r="A279" s="513"/>
      <c r="B279" s="521"/>
    </row>
    <row r="280" spans="1:7" customFormat="1">
      <c r="A280" s="513"/>
      <c r="B280" s="521"/>
    </row>
    <row r="281" spans="1:7" customFormat="1">
      <c r="A281" s="513"/>
      <c r="B281" s="521"/>
    </row>
    <row r="282" spans="1:7" customFormat="1">
      <c r="A282" s="513"/>
      <c r="B282" s="521"/>
    </row>
    <row r="283" spans="1:7" customFormat="1">
      <c r="A283" s="513"/>
      <c r="B283" s="521"/>
    </row>
    <row r="284" spans="1:7" customFormat="1">
      <c r="A284" s="513"/>
      <c r="B284" s="521"/>
    </row>
    <row r="285" spans="1:7" customFormat="1">
      <c r="A285" s="513"/>
      <c r="B285" s="521"/>
    </row>
    <row r="286" spans="1:7" customFormat="1">
      <c r="A286" s="513"/>
      <c r="B286" s="521"/>
    </row>
    <row r="287" spans="1:7" customFormat="1">
      <c r="A287" s="513"/>
      <c r="B287" s="521"/>
      <c r="D287" s="521"/>
      <c r="F287" s="522"/>
      <c r="G287" s="522"/>
    </row>
    <row r="288" spans="1:7" customFormat="1">
      <c r="A288" s="513"/>
      <c r="B288" s="521"/>
    </row>
    <row r="289" spans="1:7" customFormat="1">
      <c r="A289" s="513"/>
      <c r="B289" s="521"/>
    </row>
    <row r="290" spans="1:7" customFormat="1">
      <c r="A290" s="513"/>
      <c r="B290" s="521"/>
    </row>
    <row r="291" spans="1:7" customFormat="1">
      <c r="A291" s="513"/>
      <c r="B291" s="521"/>
    </row>
    <row r="292" spans="1:7" customFormat="1">
      <c r="A292" s="513"/>
      <c r="B292" s="521"/>
    </row>
    <row r="293" spans="1:7" customFormat="1">
      <c r="A293" s="513"/>
      <c r="B293" s="521"/>
    </row>
    <row r="294" spans="1:7" customFormat="1">
      <c r="A294" s="513"/>
      <c r="B294" s="521"/>
    </row>
    <row r="295" spans="1:7" customFormat="1">
      <c r="A295" s="513"/>
      <c r="B295" s="521"/>
      <c r="D295" s="521"/>
      <c r="F295" s="522"/>
      <c r="G295" s="522"/>
    </row>
    <row r="296" spans="1:7" customFormat="1">
      <c r="A296" s="513"/>
      <c r="B296" s="521"/>
    </row>
    <row r="297" spans="1:7" customFormat="1">
      <c r="A297" s="513"/>
      <c r="B297" s="521"/>
    </row>
    <row r="298" spans="1:7" customFormat="1">
      <c r="A298" s="513"/>
      <c r="B298" s="521"/>
    </row>
    <row r="299" spans="1:7" customFormat="1">
      <c r="A299" s="513"/>
      <c r="B299" s="521"/>
    </row>
    <row r="300" spans="1:7" customFormat="1">
      <c r="A300" s="513"/>
      <c r="B300" s="521"/>
    </row>
    <row r="301" spans="1:7" customFormat="1">
      <c r="A301" s="513"/>
      <c r="B301" s="521"/>
    </row>
    <row r="302" spans="1:7" customFormat="1">
      <c r="A302" s="513"/>
      <c r="B302" s="521"/>
    </row>
    <row r="303" spans="1:7" customFormat="1">
      <c r="A303" s="513"/>
      <c r="B303" s="521"/>
    </row>
    <row r="304" spans="1:7" customFormat="1">
      <c r="A304" s="513"/>
      <c r="B304" s="521"/>
      <c r="D304" s="521"/>
      <c r="F304" s="522"/>
      <c r="G304" s="522"/>
    </row>
    <row r="305" spans="1:7" customFormat="1">
      <c r="A305" s="513"/>
      <c r="B305" s="521"/>
    </row>
    <row r="306" spans="1:7" customFormat="1">
      <c r="A306" s="513"/>
      <c r="B306" s="521"/>
    </row>
    <row r="307" spans="1:7" customFormat="1">
      <c r="A307" s="513"/>
      <c r="B307" s="521"/>
    </row>
    <row r="308" spans="1:7" customFormat="1">
      <c r="A308" s="513"/>
      <c r="B308" s="521"/>
    </row>
    <row r="309" spans="1:7" customFormat="1">
      <c r="A309" s="513"/>
      <c r="B309" s="521"/>
    </row>
    <row r="310" spans="1:7" customFormat="1">
      <c r="A310" s="513"/>
      <c r="B310" s="521"/>
    </row>
    <row r="311" spans="1:7" customFormat="1">
      <c r="A311" s="513"/>
      <c r="B311" s="521"/>
    </row>
    <row r="312" spans="1:7" customFormat="1">
      <c r="A312" s="513"/>
      <c r="B312" s="521"/>
      <c r="D312" s="521"/>
      <c r="F312" s="522"/>
      <c r="G312" s="522"/>
    </row>
    <row r="313" spans="1:7" customFormat="1">
      <c r="A313" s="513"/>
      <c r="B313" s="521"/>
    </row>
    <row r="314" spans="1:7" customFormat="1">
      <c r="A314" s="513"/>
      <c r="B314" s="521"/>
    </row>
    <row r="315" spans="1:7" customFormat="1">
      <c r="A315" s="513"/>
      <c r="B315" s="521"/>
    </row>
    <row r="316" spans="1:7" customFormat="1">
      <c r="A316" s="513"/>
      <c r="B316" s="521"/>
    </row>
    <row r="317" spans="1:7" customFormat="1">
      <c r="A317" s="513"/>
      <c r="B317" s="521"/>
    </row>
    <row r="318" spans="1:7" customFormat="1">
      <c r="A318" s="513"/>
      <c r="B318" s="521"/>
    </row>
    <row r="319" spans="1:7" customFormat="1">
      <c r="A319" s="513"/>
      <c r="B319" s="521"/>
    </row>
    <row r="320" spans="1:7" customFormat="1">
      <c r="A320" s="513"/>
      <c r="B320" s="521"/>
    </row>
    <row r="321" spans="1:22" customFormat="1">
      <c r="A321" s="513"/>
      <c r="B321" s="521"/>
      <c r="D321" s="521"/>
      <c r="F321" s="522"/>
      <c r="G321" s="522"/>
    </row>
    <row r="322" spans="1:22" customFormat="1" ht="15">
      <c r="B322" s="521"/>
      <c r="D322" s="521"/>
    </row>
    <row r="323" spans="1:22">
      <c r="S323"/>
      <c r="T323"/>
      <c r="U323"/>
      <c r="V323"/>
    </row>
  </sheetData>
  <mergeCells count="6">
    <mergeCell ref="A216:D216"/>
    <mergeCell ref="A1:G1"/>
    <mergeCell ref="A3:G3"/>
    <mergeCell ref="A5:G5"/>
    <mergeCell ref="A37:G37"/>
    <mergeCell ref="A44:G44"/>
  </mergeCells>
  <pageMargins left="0.7" right="0.7" top="0.75" bottom="0.75" header="0.3" footer="0.3"/>
  <pageSetup scale="33"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J22"/>
  <sheetViews>
    <sheetView zoomScaleNormal="100" workbookViewId="0">
      <selection sqref="A1:F1"/>
    </sheetView>
  </sheetViews>
  <sheetFormatPr defaultColWidth="8.88671875" defaultRowHeight="15.75"/>
  <cols>
    <col min="1" max="1" width="7.5546875" style="440" customWidth="1"/>
    <col min="2" max="2" width="29.44140625" style="441" customWidth="1"/>
    <col min="3" max="3" width="10.77734375" style="441" customWidth="1"/>
    <col min="4" max="4" width="12.44140625" style="441" customWidth="1"/>
    <col min="5" max="6" width="8.88671875" style="441"/>
    <col min="7" max="16384" width="8.88671875" style="440"/>
  </cols>
  <sheetData>
    <row r="1" spans="1:10" s="430" customFormat="1">
      <c r="A1" s="974" t="str">
        <f>+'WP-9 - Disposal Fees'!A1:G1</f>
        <v>Consolidated Disposal Services, Inc.</v>
      </c>
      <c r="B1" s="974"/>
      <c r="C1" s="974"/>
      <c r="D1" s="974"/>
      <c r="E1" s="974"/>
      <c r="F1" s="974"/>
      <c r="G1" s="438"/>
      <c r="H1" s="438"/>
      <c r="I1" s="438"/>
      <c r="J1" s="438"/>
    </row>
    <row r="2" spans="1:10" s="430" customFormat="1" ht="18" customHeight="1">
      <c r="A2" s="337"/>
      <c r="B2" s="338"/>
      <c r="C2" s="338"/>
      <c r="D2" s="338"/>
      <c r="E2" s="338"/>
      <c r="F2" s="338"/>
      <c r="G2" s="431"/>
      <c r="H2" s="431"/>
      <c r="I2" s="431"/>
    </row>
    <row r="3" spans="1:10" s="430" customFormat="1">
      <c r="A3" s="975" t="s">
        <v>762</v>
      </c>
      <c r="B3" s="975"/>
      <c r="C3" s="975"/>
      <c r="D3" s="975"/>
      <c r="E3" s="975"/>
      <c r="F3" s="975"/>
      <c r="G3" s="337"/>
      <c r="H3" s="337"/>
      <c r="I3" s="337"/>
      <c r="J3" s="337"/>
    </row>
    <row r="4" spans="1:10" s="430" customFormat="1">
      <c r="A4" s="340"/>
      <c r="B4" s="340"/>
      <c r="C4" s="340"/>
      <c r="D4" s="340"/>
      <c r="E4" s="340"/>
      <c r="F4" s="340"/>
      <c r="G4" s="432"/>
      <c r="H4" s="432"/>
      <c r="I4" s="432"/>
      <c r="J4" s="432"/>
    </row>
    <row r="5" spans="1:10" s="430" customFormat="1">
      <c r="A5" s="974" t="str">
        <f>'WP-9 - Disposal Fees'!$A$5</f>
        <v>In Support of Tariff 8 effective April 1, 2025</v>
      </c>
      <c r="B5" s="974"/>
      <c r="C5" s="974"/>
      <c r="D5" s="974"/>
      <c r="E5" s="974"/>
      <c r="F5" s="974"/>
      <c r="G5" s="438"/>
      <c r="H5" s="438"/>
      <c r="I5" s="438"/>
      <c r="J5" s="438"/>
    </row>
    <row r="6" spans="1:10" s="430" customFormat="1">
      <c r="A6" s="360"/>
      <c r="B6" s="360"/>
      <c r="C6" s="360"/>
      <c r="D6" s="360"/>
      <c r="E6" s="360"/>
      <c r="F6" s="360"/>
      <c r="G6" s="432"/>
      <c r="H6" s="432"/>
      <c r="I6" s="432"/>
      <c r="J6" s="432"/>
    </row>
    <row r="7" spans="1:10" s="441" customFormat="1">
      <c r="A7" s="440" t="s">
        <v>223</v>
      </c>
      <c r="C7" s="442" t="s">
        <v>688</v>
      </c>
      <c r="D7" s="441" t="s">
        <v>3</v>
      </c>
    </row>
    <row r="8" spans="1:10" s="441" customFormat="1">
      <c r="A8" s="440"/>
      <c r="B8" s="441" t="s">
        <v>200</v>
      </c>
      <c r="C8" s="442">
        <v>45443</v>
      </c>
      <c r="D8" s="441">
        <f>4242.6-875.4-1488.4-622.2</f>
        <v>1256.6000000000001</v>
      </c>
      <c r="E8" s="443"/>
    </row>
    <row r="9" spans="1:10" s="441" customFormat="1">
      <c r="A9" s="440"/>
      <c r="B9" s="441" t="s">
        <v>200</v>
      </c>
      <c r="C9" s="442">
        <v>45473</v>
      </c>
      <c r="D9" s="441">
        <f>1822.8-56-45-1320</f>
        <v>401.79999999999995</v>
      </c>
      <c r="E9" s="443"/>
    </row>
    <row r="10" spans="1:10" s="441" customFormat="1">
      <c r="A10" s="440"/>
      <c r="B10" s="441" t="s">
        <v>200</v>
      </c>
      <c r="C10" s="442">
        <v>45504</v>
      </c>
      <c r="D10" s="441">
        <f>8745.6-2319.2-3749.2+489.6</f>
        <v>3166.8000000000006</v>
      </c>
      <c r="E10" s="443"/>
    </row>
    <row r="11" spans="1:10" s="441" customFormat="1">
      <c r="A11" s="440"/>
      <c r="B11" s="441" t="s">
        <v>200</v>
      </c>
      <c r="C11" s="442">
        <v>45535</v>
      </c>
      <c r="D11" s="441">
        <f>1181.2-1181.2</f>
        <v>0</v>
      </c>
      <c r="E11" s="443"/>
    </row>
    <row r="12" spans="1:10" s="441" customFormat="1">
      <c r="A12" s="440"/>
      <c r="B12" s="441" t="s">
        <v>200</v>
      </c>
      <c r="C12" s="442">
        <v>45565</v>
      </c>
      <c r="D12" s="441">
        <f>1438-45-61-56</f>
        <v>1276</v>
      </c>
      <c r="E12" s="443"/>
    </row>
    <row r="13" spans="1:10" s="441" customFormat="1">
      <c r="A13" s="440"/>
      <c r="B13" s="441" t="s">
        <v>200</v>
      </c>
      <c r="C13" s="442">
        <v>45596</v>
      </c>
      <c r="D13" s="441">
        <f>1088.6</f>
        <v>1088.5999999999999</v>
      </c>
      <c r="E13" s="443"/>
    </row>
    <row r="14" spans="1:10" s="441" customFormat="1">
      <c r="A14" s="440"/>
      <c r="B14" s="441" t="s">
        <v>200</v>
      </c>
      <c r="C14" s="442">
        <v>45626</v>
      </c>
      <c r="D14" s="441">
        <f>5558.8</f>
        <v>5558.8</v>
      </c>
      <c r="E14" s="443"/>
    </row>
    <row r="15" spans="1:10" s="441" customFormat="1">
      <c r="A15" s="440"/>
      <c r="B15" s="441" t="s">
        <v>200</v>
      </c>
      <c r="C15" s="442">
        <v>45657</v>
      </c>
      <c r="D15" s="441">
        <v>3984.8</v>
      </c>
    </row>
    <row r="16" spans="1:10" s="441" customFormat="1">
      <c r="A16" s="440"/>
      <c r="B16" s="441" t="s">
        <v>200</v>
      </c>
      <c r="C16" s="442">
        <v>45688</v>
      </c>
    </row>
    <row r="17" spans="1:5" s="441" customFormat="1">
      <c r="A17" s="440"/>
      <c r="B17" s="441" t="s">
        <v>224</v>
      </c>
      <c r="D17" s="444">
        <f>SUM(D8:D15)</f>
        <v>16733.400000000001</v>
      </c>
    </row>
    <row r="18" spans="1:5" s="441" customFormat="1">
      <c r="A18" s="440"/>
      <c r="D18" s="445">
        <v>3</v>
      </c>
      <c r="E18" s="443"/>
    </row>
    <row r="19" spans="1:5" s="441" customFormat="1" ht="16.5" thickBot="1">
      <c r="A19" s="440"/>
      <c r="B19" s="441" t="s">
        <v>225</v>
      </c>
      <c r="D19" s="446">
        <f>D17/D18</f>
        <v>5577.8</v>
      </c>
    </row>
    <row r="20" spans="1:5" s="441" customFormat="1" ht="16.5" thickTop="1">
      <c r="A20" s="440"/>
    </row>
    <row r="21" spans="1:5">
      <c r="A21" s="447"/>
    </row>
    <row r="22" spans="1:5">
      <c r="A22" s="447"/>
    </row>
  </sheetData>
  <mergeCells count="3">
    <mergeCell ref="A5:F5"/>
    <mergeCell ref="A3:F3"/>
    <mergeCell ref="A1:F1"/>
  </mergeCells>
  <printOptions horizontalCentered="1"/>
  <pageMargins left="0.7" right="0.7" top="0.75" bottom="0.75" header="0.3" footer="0.3"/>
  <pageSetup scale="97" fitToWidth="0" fitToHeight="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F7B6-C696-4C29-A669-9825B1671C75}">
  <dimension ref="A1:Q51"/>
  <sheetViews>
    <sheetView zoomScaleNormal="100" workbookViewId="0">
      <selection sqref="A1:F1"/>
    </sheetView>
  </sheetViews>
  <sheetFormatPr defaultRowHeight="15"/>
  <cols>
    <col min="1" max="1" width="23.88671875" bestFit="1" customWidth="1"/>
    <col min="2" max="2" width="7.88671875" style="538" bestFit="1" customWidth="1"/>
    <col min="3" max="3" width="10.109375" style="538" bestFit="1" customWidth="1"/>
    <col min="4" max="4" width="8.77734375" customWidth="1"/>
    <col min="5" max="5" width="7.88671875" bestFit="1" customWidth="1"/>
    <col min="6" max="6" width="10.44140625" bestFit="1" customWidth="1"/>
    <col min="7" max="7" width="8.109375" bestFit="1" customWidth="1"/>
    <col min="8" max="8" width="6" bestFit="1" customWidth="1"/>
    <col min="9" max="9" width="30.109375" bestFit="1" customWidth="1"/>
    <col min="11" max="11" width="11.88671875" customWidth="1"/>
  </cols>
  <sheetData>
    <row r="1" spans="1:15" ht="15.75">
      <c r="A1" s="974" t="str">
        <f>+'WP-9 - Disposal Fees'!A1:G1</f>
        <v>Consolidated Disposal Services, Inc.</v>
      </c>
      <c r="B1" s="974"/>
      <c r="C1" s="974"/>
      <c r="D1" s="974"/>
      <c r="E1" s="974"/>
      <c r="F1" s="974"/>
    </row>
    <row r="2" spans="1:15" ht="15.75">
      <c r="A2" s="337"/>
      <c r="B2" s="338"/>
      <c r="C2" s="338"/>
      <c r="D2" s="338"/>
      <c r="E2" s="338"/>
      <c r="F2" s="338"/>
    </row>
    <row r="3" spans="1:15" ht="15.75">
      <c r="A3" s="975" t="s">
        <v>1371</v>
      </c>
      <c r="B3" s="975"/>
      <c r="C3" s="975"/>
      <c r="D3" s="975"/>
      <c r="E3" s="975"/>
      <c r="F3" s="975"/>
      <c r="K3" s="505" t="s">
        <v>1363</v>
      </c>
    </row>
    <row r="4" spans="1:15" ht="15.75">
      <c r="A4" s="340"/>
      <c r="B4" s="340"/>
      <c r="C4" s="340"/>
      <c r="D4" s="340"/>
      <c r="E4" s="340"/>
      <c r="F4" s="340"/>
      <c r="I4" s="878" t="s">
        <v>1362</v>
      </c>
      <c r="K4" s="505" t="s">
        <v>1364</v>
      </c>
    </row>
    <row r="5" spans="1:15" ht="15.75">
      <c r="A5" s="974" t="str">
        <f>'WP-9 - Disposal Fees'!$A$5</f>
        <v>In Support of Tariff 8 effective April 1, 2025</v>
      </c>
      <c r="B5" s="974"/>
      <c r="C5" s="974"/>
      <c r="D5" s="974"/>
      <c r="E5" s="974"/>
      <c r="F5" s="974"/>
      <c r="I5" s="871" t="s">
        <v>1286</v>
      </c>
      <c r="K5" t="s">
        <v>1285</v>
      </c>
    </row>
    <row r="6" spans="1:15">
      <c r="D6" s="505" t="s">
        <v>1361</v>
      </c>
      <c r="K6" s="505"/>
    </row>
    <row r="7" spans="1:15">
      <c r="D7" t="s">
        <v>1026</v>
      </c>
      <c r="F7" s="505" t="s">
        <v>1029</v>
      </c>
    </row>
    <row r="8" spans="1:15">
      <c r="A8" t="s">
        <v>776</v>
      </c>
      <c r="D8" t="s">
        <v>777</v>
      </c>
      <c r="E8" t="s">
        <v>778</v>
      </c>
      <c r="F8" t="s">
        <v>779</v>
      </c>
      <c r="G8" t="s">
        <v>780</v>
      </c>
      <c r="H8" t="s">
        <v>781</v>
      </c>
      <c r="I8" s="878" t="s">
        <v>830</v>
      </c>
      <c r="K8" t="s">
        <v>830</v>
      </c>
      <c r="O8" s="505" t="s">
        <v>958</v>
      </c>
    </row>
    <row r="9" spans="1:15" ht="15.75">
      <c r="A9" s="909" t="s">
        <v>782</v>
      </c>
      <c r="B9" s="850"/>
      <c r="C9" s="850"/>
      <c r="D9" s="851">
        <v>1</v>
      </c>
      <c r="E9" s="851">
        <v>0</v>
      </c>
      <c r="F9" s="851">
        <v>1</v>
      </c>
      <c r="G9" s="851">
        <v>1</v>
      </c>
      <c r="H9" s="851">
        <v>0.5</v>
      </c>
      <c r="I9" s="852">
        <f>3.5/5</f>
        <v>0.7</v>
      </c>
      <c r="J9" s="461"/>
      <c r="K9" s="853">
        <f>+I9</f>
        <v>0.7</v>
      </c>
      <c r="O9" s="505" t="s">
        <v>894</v>
      </c>
    </row>
    <row r="10" spans="1:15" ht="15.75">
      <c r="A10" s="909" t="s">
        <v>783</v>
      </c>
      <c r="B10" s="850"/>
      <c r="C10" s="850"/>
      <c r="D10" s="851">
        <v>1</v>
      </c>
      <c r="E10" s="851">
        <v>0</v>
      </c>
      <c r="F10" s="851">
        <v>1</v>
      </c>
      <c r="G10" s="851">
        <v>1</v>
      </c>
      <c r="H10" s="851">
        <v>0</v>
      </c>
      <c r="I10" s="852">
        <v>0.6</v>
      </c>
      <c r="J10" s="461"/>
      <c r="K10" s="853">
        <f>+I10</f>
        <v>0.6</v>
      </c>
      <c r="O10" s="505" t="s">
        <v>895</v>
      </c>
    </row>
    <row r="11" spans="1:15" ht="15.75">
      <c r="A11" s="909" t="s">
        <v>785</v>
      </c>
      <c r="B11" s="850"/>
      <c r="C11" s="850"/>
      <c r="D11" s="851">
        <v>0.1</v>
      </c>
      <c r="E11" s="851">
        <v>0.1</v>
      </c>
      <c r="F11" s="851">
        <v>0.1</v>
      </c>
      <c r="G11" s="851">
        <v>0.1</v>
      </c>
      <c r="H11" s="851">
        <v>0.1</v>
      </c>
      <c r="I11" s="852">
        <v>0.1</v>
      </c>
      <c r="J11" s="461"/>
      <c r="K11" s="873">
        <v>0.7</v>
      </c>
      <c r="O11" s="505" t="s">
        <v>1269</v>
      </c>
    </row>
    <row r="12" spans="1:15" ht="15.75">
      <c r="A12" s="909" t="s">
        <v>786</v>
      </c>
      <c r="B12" s="850"/>
      <c r="C12" s="850"/>
      <c r="D12" s="854"/>
      <c r="E12" s="851">
        <v>1</v>
      </c>
      <c r="F12" s="851">
        <v>0</v>
      </c>
      <c r="G12" s="851">
        <v>1</v>
      </c>
      <c r="H12" s="851">
        <v>0</v>
      </c>
      <c r="I12" s="852">
        <v>0.5</v>
      </c>
      <c r="J12" s="854"/>
      <c r="K12" s="853">
        <f>+I12</f>
        <v>0.5</v>
      </c>
      <c r="O12" s="505" t="s">
        <v>1271</v>
      </c>
    </row>
    <row r="13" spans="1:15" ht="15.75">
      <c r="A13" s="909" t="s">
        <v>787</v>
      </c>
      <c r="B13" s="850"/>
      <c r="C13" s="850"/>
      <c r="D13" s="851">
        <v>1</v>
      </c>
      <c r="E13" s="851">
        <v>0</v>
      </c>
      <c r="F13" s="851">
        <v>0</v>
      </c>
      <c r="G13" s="851">
        <v>0</v>
      </c>
      <c r="H13" s="851">
        <v>0</v>
      </c>
      <c r="I13" s="852">
        <v>0.2</v>
      </c>
      <c r="J13" s="461"/>
      <c r="K13" s="853">
        <f>+I13</f>
        <v>0.2</v>
      </c>
    </row>
    <row r="14" spans="1:15" ht="15.75">
      <c r="A14" s="909"/>
      <c r="B14" s="850"/>
      <c r="C14" s="850"/>
      <c r="D14" s="854"/>
      <c r="E14" s="854"/>
      <c r="F14" s="854"/>
      <c r="G14" s="854"/>
      <c r="H14" s="854"/>
      <c r="I14" s="854"/>
      <c r="J14" s="461"/>
      <c r="K14" s="853"/>
      <c r="O14" s="505" t="s">
        <v>901</v>
      </c>
    </row>
    <row r="15" spans="1:15" ht="15.75">
      <c r="A15" s="909"/>
      <c r="B15" s="850"/>
      <c r="C15" s="850"/>
      <c r="D15" s="854"/>
      <c r="E15" s="854"/>
      <c r="F15" s="854"/>
      <c r="G15" s="854"/>
      <c r="H15" s="854"/>
      <c r="I15" s="854"/>
      <c r="J15" s="461"/>
      <c r="K15" s="853"/>
      <c r="N15" s="505" t="s">
        <v>902</v>
      </c>
      <c r="O15" s="874">
        <f>+K36</f>
        <v>0.6</v>
      </c>
    </row>
    <row r="16" spans="1:15" ht="15.75">
      <c r="A16" s="909" t="s">
        <v>788</v>
      </c>
      <c r="B16" s="850"/>
      <c r="C16" s="850"/>
      <c r="D16" s="851">
        <v>1</v>
      </c>
      <c r="E16" s="851">
        <v>1</v>
      </c>
      <c r="F16" s="851">
        <v>1</v>
      </c>
      <c r="G16" s="851">
        <v>1</v>
      </c>
      <c r="H16" s="851">
        <v>1</v>
      </c>
      <c r="I16" s="854" t="s">
        <v>789</v>
      </c>
      <c r="J16" s="461"/>
      <c r="K16" s="853">
        <v>1</v>
      </c>
      <c r="L16" s="505"/>
      <c r="N16" s="505" t="s">
        <v>903</v>
      </c>
      <c r="O16" s="874">
        <f>+K16</f>
        <v>1</v>
      </c>
    </row>
    <row r="17" spans="1:17" ht="15.75">
      <c r="A17" s="909"/>
      <c r="B17" s="850"/>
      <c r="C17" s="850"/>
      <c r="D17" s="854"/>
      <c r="E17" s="854"/>
      <c r="F17" s="854"/>
      <c r="G17" s="854"/>
      <c r="H17" s="854"/>
      <c r="I17" s="854"/>
      <c r="J17" s="461"/>
      <c r="K17" s="853"/>
      <c r="N17" s="505" t="s">
        <v>1270</v>
      </c>
      <c r="O17" s="874">
        <v>1</v>
      </c>
    </row>
    <row r="18" spans="1:17" ht="15.75">
      <c r="A18" s="909" t="s">
        <v>790</v>
      </c>
      <c r="B18" s="850"/>
      <c r="C18" s="850"/>
      <c r="D18" s="851">
        <v>0.7</v>
      </c>
      <c r="E18" s="851">
        <v>0.7</v>
      </c>
      <c r="F18" s="851">
        <v>0.7</v>
      </c>
      <c r="G18" s="851">
        <v>0.7</v>
      </c>
      <c r="H18" s="851">
        <v>0.7</v>
      </c>
      <c r="I18" s="852">
        <v>0.7</v>
      </c>
      <c r="J18" s="461"/>
      <c r="K18" s="911">
        <v>0.7</v>
      </c>
      <c r="L18" s="505"/>
      <c r="N18" s="505" t="s">
        <v>1002</v>
      </c>
      <c r="O18" s="874">
        <v>0.7</v>
      </c>
    </row>
    <row r="19" spans="1:17" ht="15.75">
      <c r="A19" s="909"/>
      <c r="B19" s="850"/>
      <c r="C19" s="850"/>
      <c r="D19" s="854"/>
      <c r="E19" s="854"/>
      <c r="F19" s="854"/>
      <c r="G19" s="854"/>
      <c r="H19" s="854"/>
      <c r="I19" s="854"/>
      <c r="J19" s="461"/>
      <c r="K19" s="853"/>
      <c r="N19" s="505"/>
      <c r="O19" s="875"/>
    </row>
    <row r="20" spans="1:17" ht="15.75">
      <c r="A20" s="909" t="s">
        <v>791</v>
      </c>
      <c r="B20" s="850"/>
      <c r="C20" s="850"/>
      <c r="D20" s="851">
        <v>1</v>
      </c>
      <c r="E20" s="851">
        <v>1</v>
      </c>
      <c r="F20" s="851">
        <v>0</v>
      </c>
      <c r="G20" s="851">
        <v>1</v>
      </c>
      <c r="H20" s="851">
        <v>0</v>
      </c>
      <c r="I20" s="852">
        <v>0.6</v>
      </c>
      <c r="J20" s="461"/>
      <c r="K20" s="873">
        <v>0.1</v>
      </c>
      <c r="O20" s="874">
        <f>SUM(O15:O19)</f>
        <v>3.3</v>
      </c>
    </row>
    <row r="21" spans="1:17" ht="15.75">
      <c r="A21" s="909"/>
      <c r="B21" s="850"/>
      <c r="C21" s="850"/>
      <c r="D21" s="854"/>
      <c r="E21" s="854"/>
      <c r="F21" s="854"/>
      <c r="G21" s="461"/>
      <c r="H21" s="461"/>
      <c r="I21" s="461"/>
      <c r="J21" s="461"/>
      <c r="K21" s="853"/>
      <c r="N21" s="876" t="s">
        <v>904</v>
      </c>
      <c r="O21" s="877">
        <v>18</v>
      </c>
    </row>
    <row r="22" spans="1:17" ht="15.75">
      <c r="A22" s="909"/>
      <c r="B22" s="850"/>
      <c r="C22" s="850"/>
      <c r="D22" s="854"/>
      <c r="E22" s="854"/>
      <c r="F22" s="854"/>
      <c r="G22" s="854"/>
      <c r="H22" s="854"/>
      <c r="I22" s="854"/>
      <c r="J22" s="461"/>
      <c r="K22" s="853"/>
      <c r="N22" s="878" t="s">
        <v>905</v>
      </c>
      <c r="O22" s="616">
        <f>+O20/O21</f>
        <v>0.18333333333333332</v>
      </c>
      <c r="Q22" s="505"/>
    </row>
    <row r="23" spans="1:17" ht="15.75">
      <c r="A23" s="909" t="s">
        <v>792</v>
      </c>
      <c r="B23" s="850"/>
      <c r="C23" s="850"/>
      <c r="D23" s="851">
        <v>0.7</v>
      </c>
      <c r="E23" s="851">
        <v>0.7</v>
      </c>
      <c r="F23" s="851">
        <v>0.7</v>
      </c>
      <c r="G23" s="851">
        <v>0.7</v>
      </c>
      <c r="H23" s="851">
        <v>0.7</v>
      </c>
      <c r="I23" s="855">
        <v>0.7</v>
      </c>
      <c r="J23" s="461"/>
      <c r="K23" s="873">
        <f>+'WP-9 - Disposal Fees'!S20</f>
        <v>0.33313080446360216</v>
      </c>
      <c r="L23" s="505" t="s">
        <v>1028</v>
      </c>
      <c r="Q23" s="505"/>
    </row>
    <row r="24" spans="1:17" ht="15.75">
      <c r="A24" s="909" t="s">
        <v>793</v>
      </c>
      <c r="B24" s="850"/>
      <c r="C24" s="850"/>
      <c r="D24" s="851">
        <v>1</v>
      </c>
      <c r="E24" s="851">
        <v>1</v>
      </c>
      <c r="F24" s="851">
        <v>1</v>
      </c>
      <c r="G24" s="851">
        <v>1</v>
      </c>
      <c r="H24" s="851">
        <v>1</v>
      </c>
      <c r="I24" s="852">
        <v>1</v>
      </c>
      <c r="J24" s="461"/>
      <c r="K24" s="853">
        <f>+I24</f>
        <v>1</v>
      </c>
      <c r="L24" s="505"/>
    </row>
    <row r="25" spans="1:17" ht="15.75">
      <c r="A25" s="909" t="s">
        <v>582</v>
      </c>
      <c r="B25" s="850"/>
      <c r="C25" s="850"/>
      <c r="D25" s="851">
        <v>1</v>
      </c>
      <c r="E25" s="851">
        <v>1</v>
      </c>
      <c r="F25" s="851">
        <v>0</v>
      </c>
      <c r="G25" s="851">
        <v>1</v>
      </c>
      <c r="H25" s="851">
        <v>1</v>
      </c>
      <c r="I25" s="852">
        <v>0.8</v>
      </c>
      <c r="J25" s="461"/>
      <c r="K25" s="853">
        <v>0.8</v>
      </c>
    </row>
    <row r="26" spans="1:17" ht="15.75">
      <c r="A26" s="909" t="s">
        <v>794</v>
      </c>
      <c r="B26" s="850"/>
      <c r="C26" s="850"/>
      <c r="D26" s="851">
        <v>0.25</v>
      </c>
      <c r="E26" s="851">
        <v>0.25</v>
      </c>
      <c r="F26" s="851">
        <v>0.25</v>
      </c>
      <c r="G26" s="851">
        <v>0.25</v>
      </c>
      <c r="H26" s="851">
        <v>0.25</v>
      </c>
      <c r="I26" s="852">
        <f>1.25/5</f>
        <v>0.25</v>
      </c>
      <c r="J26" s="461"/>
      <c r="K26" s="853">
        <v>0.25</v>
      </c>
      <c r="N26" s="269"/>
    </row>
    <row r="27" spans="1:17" ht="15.75">
      <c r="A27" s="909"/>
      <c r="B27" s="850"/>
      <c r="C27" s="850"/>
      <c r="D27" s="854"/>
      <c r="E27" s="854"/>
      <c r="F27" s="854"/>
      <c r="G27" s="461"/>
      <c r="H27" s="461"/>
      <c r="I27" s="461"/>
      <c r="J27" s="461"/>
      <c r="K27" s="853"/>
      <c r="N27" s="269"/>
    </row>
    <row r="28" spans="1:17" ht="15.75">
      <c r="A28" s="909" t="s">
        <v>795</v>
      </c>
      <c r="B28" s="850"/>
      <c r="C28" s="850"/>
      <c r="D28" s="851">
        <v>1</v>
      </c>
      <c r="E28" s="851">
        <v>0</v>
      </c>
      <c r="F28" s="851">
        <v>0</v>
      </c>
      <c r="G28" s="851">
        <v>1</v>
      </c>
      <c r="H28" s="851">
        <v>0.25</v>
      </c>
      <c r="I28" s="852">
        <f>2.25/5</f>
        <v>0.45</v>
      </c>
      <c r="J28" s="461"/>
      <c r="K28" s="873">
        <v>0.25</v>
      </c>
      <c r="N28" s="269"/>
    </row>
    <row r="29" spans="1:17" ht="15.75">
      <c r="A29" s="909" t="s">
        <v>1357</v>
      </c>
      <c r="B29" s="850"/>
      <c r="C29" s="850"/>
      <c r="D29" s="854"/>
      <c r="E29" s="854"/>
      <c r="F29" s="854"/>
      <c r="G29" s="461"/>
      <c r="H29" s="461"/>
      <c r="I29" s="461"/>
      <c r="J29" s="461"/>
      <c r="K29" s="853">
        <f>+'WP-9 - Disposal Fees'!S20</f>
        <v>0.33313080446360216</v>
      </c>
      <c r="L29" s="505" t="s">
        <v>1028</v>
      </c>
      <c r="N29" s="269"/>
    </row>
    <row r="30" spans="1:17" ht="15.75">
      <c r="A30" s="909"/>
      <c r="B30" s="850"/>
      <c r="C30" s="850"/>
      <c r="D30" s="854"/>
      <c r="E30" s="854"/>
      <c r="F30" s="854"/>
      <c r="G30" s="461"/>
      <c r="H30" s="461"/>
      <c r="I30" s="854"/>
      <c r="J30" s="461"/>
      <c r="K30" s="853"/>
      <c r="N30" s="269"/>
    </row>
    <row r="31" spans="1:17" ht="15.75">
      <c r="A31" s="909" t="s">
        <v>583</v>
      </c>
      <c r="B31" s="850"/>
      <c r="C31" s="850"/>
      <c r="D31" s="851">
        <v>1</v>
      </c>
      <c r="E31" s="851">
        <v>0</v>
      </c>
      <c r="F31" s="851">
        <v>1</v>
      </c>
      <c r="G31" s="851">
        <v>1</v>
      </c>
      <c r="H31" s="851">
        <v>1</v>
      </c>
      <c r="I31" s="852">
        <v>0.8</v>
      </c>
      <c r="J31" s="461"/>
      <c r="K31" s="853">
        <v>0.8</v>
      </c>
      <c r="N31" s="269"/>
    </row>
    <row r="32" spans="1:17" ht="15.75">
      <c r="A32" s="909" t="s">
        <v>796</v>
      </c>
      <c r="B32" s="850"/>
      <c r="C32" s="850"/>
      <c r="D32" s="851">
        <v>1</v>
      </c>
      <c r="E32" s="851">
        <v>0</v>
      </c>
      <c r="F32" s="851">
        <v>0</v>
      </c>
      <c r="G32" s="851">
        <v>0</v>
      </c>
      <c r="H32" s="851">
        <v>0</v>
      </c>
      <c r="I32" s="852">
        <v>0.2</v>
      </c>
      <c r="J32" s="461"/>
      <c r="K32" s="873">
        <v>0</v>
      </c>
      <c r="N32" s="269"/>
    </row>
    <row r="33" spans="1:15" ht="15.75">
      <c r="A33" s="909" t="s">
        <v>797</v>
      </c>
      <c r="B33" s="850"/>
      <c r="C33" s="850"/>
      <c r="D33" s="851">
        <v>0.85</v>
      </c>
      <c r="E33" s="851">
        <v>0.75</v>
      </c>
      <c r="F33" s="851">
        <v>0</v>
      </c>
      <c r="G33" s="851">
        <v>0.75</v>
      </c>
      <c r="H33" s="851">
        <v>0.75</v>
      </c>
      <c r="I33" s="852">
        <f>3.1/5</f>
        <v>0.62</v>
      </c>
      <c r="J33" s="461"/>
      <c r="K33" s="853">
        <f>+I33</f>
        <v>0.62</v>
      </c>
      <c r="N33" s="269"/>
    </row>
    <row r="34" spans="1:15" ht="15.75">
      <c r="A34" s="909"/>
      <c r="B34" s="850"/>
      <c r="C34" s="850"/>
      <c r="D34" s="854"/>
      <c r="E34" s="854"/>
      <c r="F34" s="854"/>
      <c r="G34" s="461"/>
      <c r="H34" s="461"/>
      <c r="I34" s="855"/>
      <c r="J34" s="461"/>
      <c r="K34" s="856"/>
      <c r="N34" s="269"/>
    </row>
    <row r="35" spans="1:15" ht="15.75">
      <c r="A35" s="909" t="s">
        <v>1001</v>
      </c>
      <c r="B35" s="857"/>
      <c r="C35" s="857"/>
      <c r="D35" s="851">
        <v>1</v>
      </c>
      <c r="E35" s="851">
        <v>1</v>
      </c>
      <c r="F35" s="851">
        <v>1</v>
      </c>
      <c r="G35" s="851">
        <v>1</v>
      </c>
      <c r="H35" s="851">
        <v>0</v>
      </c>
      <c r="I35" s="855">
        <v>0.8</v>
      </c>
      <c r="J35" s="461"/>
      <c r="K35" s="858">
        <f>+I35</f>
        <v>0.8</v>
      </c>
      <c r="N35" s="269"/>
    </row>
    <row r="36" spans="1:15" ht="15.75">
      <c r="A36" s="909" t="s">
        <v>1027</v>
      </c>
      <c r="B36" s="857"/>
      <c r="C36" s="857"/>
      <c r="D36" s="851">
        <v>1</v>
      </c>
      <c r="E36" s="851">
        <v>1</v>
      </c>
      <c r="F36" s="851">
        <v>1</v>
      </c>
      <c r="G36" s="851">
        <v>1</v>
      </c>
      <c r="H36" s="851">
        <v>0</v>
      </c>
      <c r="I36" s="855">
        <v>0.8</v>
      </c>
      <c r="J36" s="461"/>
      <c r="K36" s="872">
        <v>0.6</v>
      </c>
      <c r="N36" s="269"/>
    </row>
    <row r="37" spans="1:15" ht="15.75">
      <c r="A37" s="909" t="s">
        <v>1002</v>
      </c>
      <c r="B37" s="857"/>
      <c r="C37" s="857"/>
      <c r="D37" s="851">
        <v>1</v>
      </c>
      <c r="E37" s="851">
        <v>0.25</v>
      </c>
      <c r="F37" s="851">
        <v>0.25</v>
      </c>
      <c r="G37" s="851">
        <v>1</v>
      </c>
      <c r="H37" s="851">
        <v>1</v>
      </c>
      <c r="I37" s="855">
        <f>3.5%/5%</f>
        <v>0.70000000000000007</v>
      </c>
      <c r="J37" s="461"/>
      <c r="K37" s="872">
        <v>0.55000000000000004</v>
      </c>
      <c r="N37" s="269"/>
    </row>
    <row r="38" spans="1:15" ht="15.75">
      <c r="A38" s="909" t="s">
        <v>1003</v>
      </c>
      <c r="B38" s="857"/>
      <c r="C38" s="857"/>
      <c r="D38" s="851">
        <v>1</v>
      </c>
      <c r="E38" s="851">
        <v>1</v>
      </c>
      <c r="F38" s="851">
        <v>0</v>
      </c>
      <c r="G38" s="851">
        <v>0</v>
      </c>
      <c r="H38" s="851">
        <v>1</v>
      </c>
      <c r="I38" s="855">
        <v>0.6</v>
      </c>
      <c r="J38" s="461"/>
      <c r="K38" s="859">
        <f>+I38</f>
        <v>0.6</v>
      </c>
      <c r="N38" s="269"/>
    </row>
    <row r="39" spans="1:15" ht="15.75">
      <c r="A39" s="909" t="s">
        <v>1004</v>
      </c>
      <c r="B39" s="857"/>
      <c r="C39" s="857"/>
      <c r="D39" s="851">
        <v>1</v>
      </c>
      <c r="E39" s="851">
        <v>0</v>
      </c>
      <c r="F39" s="851">
        <v>0.75</v>
      </c>
      <c r="G39" s="851">
        <v>1</v>
      </c>
      <c r="H39" s="851">
        <v>1</v>
      </c>
      <c r="I39" s="855">
        <f>3.75%/5%</f>
        <v>0.74999999999999989</v>
      </c>
      <c r="J39" s="461"/>
      <c r="K39" s="860">
        <v>0.75</v>
      </c>
      <c r="N39" s="269"/>
    </row>
    <row r="40" spans="1:15" ht="15.75">
      <c r="A40" s="910"/>
      <c r="B40" s="857"/>
      <c r="C40" s="857"/>
      <c r="D40" s="461"/>
      <c r="E40" s="461"/>
      <c r="F40" s="461"/>
      <c r="G40" s="461"/>
      <c r="H40" s="461"/>
      <c r="I40" s="855"/>
      <c r="J40" s="461"/>
      <c r="K40" s="859">
        <f>SUM(K9:K39)/22</f>
        <v>0.5539209822239638</v>
      </c>
      <c r="M40" s="505" t="s">
        <v>831</v>
      </c>
      <c r="N40" s="269"/>
      <c r="O40" s="456"/>
    </row>
    <row r="41" spans="1:15" ht="15.75">
      <c r="A41" s="910"/>
      <c r="I41" s="786"/>
      <c r="K41" s="787"/>
      <c r="N41" s="269"/>
    </row>
    <row r="42" spans="1:15" ht="15.75">
      <c r="N42" s="269"/>
    </row>
    <row r="43" spans="1:15" ht="15.75">
      <c r="A43" t="s">
        <v>832</v>
      </c>
      <c r="K43">
        <v>9970</v>
      </c>
      <c r="N43" s="269"/>
    </row>
    <row r="44" spans="1:15" ht="15.75">
      <c r="K44" s="617">
        <f>21250+1800+900+46</f>
        <v>23996</v>
      </c>
      <c r="N44" s="269"/>
    </row>
    <row r="45" spans="1:15" ht="15.75">
      <c r="K45" s="616">
        <f>+K43/K44</f>
        <v>0.41548591431905318</v>
      </c>
      <c r="M45" t="s">
        <v>833</v>
      </c>
      <c r="N45" s="269"/>
    </row>
    <row r="46" spans="1:15" ht="15.75">
      <c r="M46" s="505" t="s">
        <v>1360</v>
      </c>
      <c r="N46" s="269"/>
    </row>
    <row r="47" spans="1:15" ht="15.75">
      <c r="A47" t="s">
        <v>183</v>
      </c>
      <c r="K47">
        <f>+Operations!E26</f>
        <v>7643720.8899999987</v>
      </c>
      <c r="N47" s="269"/>
    </row>
    <row r="48" spans="1:15" ht="15.75">
      <c r="K48" s="617">
        <f>+Operations!C26</f>
        <v>13558968.929999998</v>
      </c>
      <c r="N48" s="269"/>
    </row>
    <row r="49" spans="11:14" ht="15.75">
      <c r="K49" s="580">
        <f>+K47/K48</f>
        <v>0.56373909619984652</v>
      </c>
      <c r="M49" s="505" t="s">
        <v>1365</v>
      </c>
      <c r="N49" s="269"/>
    </row>
    <row r="50" spans="11:14" ht="15.75">
      <c r="K50" s="22"/>
      <c r="N50" s="269"/>
    </row>
    <row r="51" spans="11:14" ht="15.75">
      <c r="N51" s="269"/>
    </row>
  </sheetData>
  <mergeCells count="3">
    <mergeCell ref="A1:F1"/>
    <mergeCell ref="A3:F3"/>
    <mergeCell ref="A5:F5"/>
  </mergeCells>
  <pageMargins left="0.7" right="0.7" top="0.75" bottom="0.75" header="0.3" footer="0.3"/>
  <pageSetup scale="3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037E-D8CF-4B1F-BEF8-0291314F6AEB}">
  <dimension ref="A1:J62"/>
  <sheetViews>
    <sheetView zoomScaleNormal="100" workbookViewId="0">
      <selection sqref="A1:F1"/>
    </sheetView>
  </sheetViews>
  <sheetFormatPr defaultRowHeight="15"/>
  <cols>
    <col min="5" max="5" width="11" bestFit="1" customWidth="1"/>
    <col min="6" max="6" width="10.109375" customWidth="1"/>
  </cols>
  <sheetData>
    <row r="1" spans="1:10" ht="15.75">
      <c r="A1" s="974" t="str">
        <f>+'WP-9 - Disposal Fees'!A1:G1</f>
        <v>Consolidated Disposal Services, Inc.</v>
      </c>
      <c r="B1" s="974"/>
      <c r="C1" s="974"/>
      <c r="D1" s="974"/>
      <c r="E1" s="974"/>
      <c r="F1" s="974"/>
    </row>
    <row r="2" spans="1:10" ht="15.75">
      <c r="A2" s="337"/>
      <c r="B2" s="338"/>
      <c r="C2" s="338"/>
      <c r="D2" s="338"/>
      <c r="E2" s="338"/>
      <c r="F2" s="338"/>
    </row>
    <row r="3" spans="1:10" ht="15.75">
      <c r="A3" s="975" t="s">
        <v>1372</v>
      </c>
      <c r="B3" s="975"/>
      <c r="C3" s="975"/>
      <c r="D3" s="975"/>
      <c r="E3" s="975"/>
      <c r="F3" s="975"/>
    </row>
    <row r="4" spans="1:10" ht="15.75">
      <c r="A4" s="340"/>
      <c r="B4" s="340"/>
      <c r="C4" s="340"/>
      <c r="D4" s="340"/>
      <c r="E4" s="340"/>
      <c r="F4" s="340"/>
    </row>
    <row r="5" spans="1:10" ht="15.75">
      <c r="A5" s="974" t="str">
        <f>'WP-9 - Disposal Fees'!$A$5</f>
        <v>In Support of Tariff 8 effective April 1, 2025</v>
      </c>
      <c r="B5" s="974"/>
      <c r="C5" s="974"/>
      <c r="D5" s="974"/>
      <c r="E5" s="974"/>
      <c r="F5" s="974"/>
    </row>
    <row r="7" spans="1:10">
      <c r="F7" t="s">
        <v>857</v>
      </c>
    </row>
    <row r="8" spans="1:10">
      <c r="F8" t="s">
        <v>752</v>
      </c>
    </row>
    <row r="9" spans="1:10">
      <c r="F9" t="s">
        <v>834</v>
      </c>
      <c r="J9" s="505" t="s">
        <v>897</v>
      </c>
    </row>
    <row r="10" spans="1:10">
      <c r="E10" t="s">
        <v>253</v>
      </c>
      <c r="F10" s="580">
        <f>1-'WP-11 - Non-Regulated'!K40</f>
        <v>0.4460790177760362</v>
      </c>
    </row>
    <row r="11" spans="1:10" ht="15.75">
      <c r="A11" s="9" t="s">
        <v>708</v>
      </c>
      <c r="E11">
        <f>+Operations!C30</f>
        <v>3040494.4099999997</v>
      </c>
      <c r="F11">
        <f>+'WP-2 - Labor Analysis'!AB80</f>
        <v>1257189.153273718</v>
      </c>
      <c r="G11" s="505"/>
      <c r="J11" s="505" t="s">
        <v>896</v>
      </c>
    </row>
    <row r="12" spans="1:10" ht="15.75">
      <c r="A12" s="9" t="s">
        <v>771</v>
      </c>
      <c r="E12">
        <f>+Operations!C31</f>
        <v>0</v>
      </c>
      <c r="J12" s="505" t="s">
        <v>890</v>
      </c>
    </row>
    <row r="13" spans="1:10" ht="15.75">
      <c r="A13" s="9" t="s">
        <v>772</v>
      </c>
      <c r="E13">
        <f>+Operations!C32</f>
        <v>0</v>
      </c>
      <c r="J13" s="505" t="s">
        <v>890</v>
      </c>
    </row>
    <row r="14" spans="1:10" ht="15.75">
      <c r="A14" s="9" t="s">
        <v>775</v>
      </c>
      <c r="E14">
        <f>+Operations!C33</f>
        <v>0</v>
      </c>
      <c r="J14" s="505" t="s">
        <v>890</v>
      </c>
    </row>
    <row r="15" spans="1:10" ht="15.75">
      <c r="A15" s="9" t="s">
        <v>773</v>
      </c>
      <c r="E15">
        <f>+Operations!C34</f>
        <v>0</v>
      </c>
      <c r="J15" s="505" t="s">
        <v>890</v>
      </c>
    </row>
    <row r="16" spans="1:10" ht="15.75">
      <c r="A16" s="9" t="s">
        <v>774</v>
      </c>
      <c r="E16">
        <f>+Operations!C35</f>
        <v>0</v>
      </c>
      <c r="J16" s="505" t="s">
        <v>890</v>
      </c>
    </row>
    <row r="17" spans="1:10" ht="15.75">
      <c r="A17" s="9" t="s">
        <v>918</v>
      </c>
      <c r="E17">
        <f>+Operations!C36</f>
        <v>0</v>
      </c>
      <c r="J17" s="505" t="s">
        <v>890</v>
      </c>
    </row>
    <row r="18" spans="1:10" ht="15.75">
      <c r="A18" s="581" t="s">
        <v>726</v>
      </c>
      <c r="B18" s="582"/>
      <c r="E18">
        <f>+Operations!C37</f>
        <v>543296.9600000002</v>
      </c>
      <c r="F18">
        <f>+'WP-2, pg 3 - Benefits Analysis'!Q94</f>
        <v>236542.35982072836</v>
      </c>
      <c r="G18" s="505"/>
      <c r="J18" s="505" t="s">
        <v>896</v>
      </c>
    </row>
    <row r="19" spans="1:10" ht="15.75">
      <c r="A19" s="9" t="s">
        <v>347</v>
      </c>
      <c r="B19" s="505"/>
      <c r="E19">
        <f>+Operations!C38</f>
        <v>27298.97</v>
      </c>
      <c r="F19">
        <f t="shared" ref="F19" si="0">+E19*F$10</f>
        <v>12177.497723897479</v>
      </c>
      <c r="J19" s="505" t="s">
        <v>893</v>
      </c>
    </row>
    <row r="20" spans="1:10" ht="15.75">
      <c r="A20" s="584" t="s">
        <v>71</v>
      </c>
      <c r="B20" s="456"/>
      <c r="E20">
        <f>+Operations!C39</f>
        <v>-1656.4499999999971</v>
      </c>
      <c r="J20" s="505" t="s">
        <v>835</v>
      </c>
    </row>
    <row r="21" spans="1:10" ht="15.75">
      <c r="A21" s="584" t="s">
        <v>727</v>
      </c>
      <c r="B21" s="456"/>
      <c r="E21">
        <f>+Operations!C40</f>
        <v>10715.57</v>
      </c>
      <c r="J21" s="505" t="s">
        <v>835</v>
      </c>
    </row>
    <row r="22" spans="1:10" ht="15.75">
      <c r="A22" s="9" t="s">
        <v>348</v>
      </c>
      <c r="E22">
        <f>+Operations!C41</f>
        <v>89961.439999999988</v>
      </c>
      <c r="F22">
        <v>0</v>
      </c>
      <c r="J22" s="505" t="s">
        <v>835</v>
      </c>
    </row>
    <row r="23" spans="1:10" ht="15.75">
      <c r="A23" s="9" t="s">
        <v>722</v>
      </c>
      <c r="E23">
        <f>+Operations!C42</f>
        <v>12459.25</v>
      </c>
      <c r="F23">
        <f t="shared" ref="F23" si="1">+E23*F$10</f>
        <v>5557.8100022260787</v>
      </c>
      <c r="J23" s="505" t="s">
        <v>893</v>
      </c>
    </row>
    <row r="24" spans="1:10" ht="15.75">
      <c r="A24" s="584" t="s">
        <v>349</v>
      </c>
      <c r="E24">
        <f>+Operations!C43</f>
        <v>3325</v>
      </c>
      <c r="J24" s="505" t="s">
        <v>898</v>
      </c>
    </row>
    <row r="25" spans="1:10" ht="15.75">
      <c r="A25" s="595" t="s">
        <v>711</v>
      </c>
      <c r="E25">
        <f>+Operations!C44</f>
        <v>30761.37</v>
      </c>
      <c r="F25">
        <f>+'WP-4 - Dues &amp; Subs'!U32+('WP-4 - Dues &amp; Subs'!U33*'WP-11, pg 2 - Non-Regulated'!F10)</f>
        <v>1338.8469853193478</v>
      </c>
      <c r="J25" s="505" t="s">
        <v>944</v>
      </c>
    </row>
    <row r="26" spans="1:10" ht="15.75">
      <c r="A26" s="9" t="s">
        <v>705</v>
      </c>
      <c r="E26">
        <f>+Operations!C45</f>
        <v>5632.91</v>
      </c>
      <c r="F26">
        <v>0</v>
      </c>
      <c r="J26" s="505" t="s">
        <v>835</v>
      </c>
    </row>
    <row r="27" spans="1:10" ht="15.75">
      <c r="A27" s="9" t="s">
        <v>58</v>
      </c>
      <c r="E27">
        <f>+Operations!C46</f>
        <v>3626578.6700000009</v>
      </c>
      <c r="F27">
        <f>+'WP-9 - Disposal Fees'!P42</f>
        <v>1490541.0970000005</v>
      </c>
      <c r="J27" s="505" t="s">
        <v>899</v>
      </c>
    </row>
    <row r="28" spans="1:10" ht="15.75">
      <c r="A28" s="9" t="s">
        <v>102</v>
      </c>
      <c r="E28">
        <f>+Operations!C48</f>
        <v>1157380.3300000003</v>
      </c>
      <c r="F28">
        <f t="shared" ref="F28:F50" si="2">+E28*F$10</f>
        <v>516283.08079970477</v>
      </c>
      <c r="J28" s="505" t="s">
        <v>893</v>
      </c>
    </row>
    <row r="29" spans="1:10" ht="15.75">
      <c r="A29" s="9" t="s">
        <v>12</v>
      </c>
      <c r="E29">
        <f>+Operations!C49</f>
        <v>0</v>
      </c>
      <c r="J29" s="505"/>
    </row>
    <row r="30" spans="1:10" ht="15.75">
      <c r="A30" s="9" t="s">
        <v>720</v>
      </c>
      <c r="E30">
        <f>+Operations!C50</f>
        <v>225756.40999999995</v>
      </c>
      <c r="F30">
        <f>+(1-'WP-11 - Non-Regulated'!K49)*'WP-11, pg 2 - Non-Regulated'!E30</f>
        <v>98488.695465277982</v>
      </c>
      <c r="J30" s="505" t="s">
        <v>900</v>
      </c>
    </row>
    <row r="31" spans="1:10" ht="15.75">
      <c r="A31" s="9" t="s">
        <v>29</v>
      </c>
      <c r="E31">
        <f>+Operations!C51</f>
        <v>279705.99</v>
      </c>
      <c r="F31">
        <f>+E31*'WP-2 - Labor Analysis'!AD80</f>
        <v>115653.34097545237</v>
      </c>
      <c r="G31" s="505"/>
      <c r="J31" s="505" t="s">
        <v>896</v>
      </c>
    </row>
    <row r="32" spans="1:10" ht="15.75">
      <c r="A32" s="9" t="s">
        <v>723</v>
      </c>
      <c r="E32">
        <f>+Operations!C52</f>
        <v>58633.5</v>
      </c>
      <c r="F32">
        <f t="shared" si="2"/>
        <v>26155.174088771219</v>
      </c>
      <c r="J32" s="505" t="s">
        <v>893</v>
      </c>
    </row>
    <row r="33" spans="1:10" ht="15.75">
      <c r="A33" s="9" t="s">
        <v>709</v>
      </c>
      <c r="E33">
        <f>+Operations!C53</f>
        <v>624299.44000000006</v>
      </c>
      <c r="F33">
        <f t="shared" si="2"/>
        <v>278486.88099332945</v>
      </c>
      <c r="J33" s="505" t="s">
        <v>893</v>
      </c>
    </row>
    <row r="34" spans="1:10" ht="15.75">
      <c r="A34" s="9" t="s">
        <v>706</v>
      </c>
      <c r="E34">
        <f>+Operations!C54</f>
        <v>22570.820000000007</v>
      </c>
      <c r="F34">
        <f>(1-'WP-9 - Disposal Fees'!S20)*E34</f>
        <v>15051.784575996846</v>
      </c>
      <c r="J34" s="505" t="s">
        <v>899</v>
      </c>
    </row>
    <row r="35" spans="1:10" ht="15.75">
      <c r="A35" s="9" t="s">
        <v>719</v>
      </c>
      <c r="E35">
        <f>+Operations!C55</f>
        <v>530274.07000000007</v>
      </c>
      <c r="F35">
        <f t="shared" si="2"/>
        <v>236544.1362977011</v>
      </c>
      <c r="J35" s="505" t="s">
        <v>893</v>
      </c>
    </row>
    <row r="36" spans="1:10" ht="15.75">
      <c r="A36" s="9" t="s">
        <v>718</v>
      </c>
      <c r="E36">
        <f>+Operations!C56</f>
        <v>6920</v>
      </c>
      <c r="F36">
        <f>+E36</f>
        <v>6920</v>
      </c>
      <c r="J36" s="505" t="s">
        <v>1370</v>
      </c>
    </row>
    <row r="37" spans="1:10" ht="15.75">
      <c r="A37" s="9" t="s">
        <v>716</v>
      </c>
      <c r="E37">
        <f>+Operations!C57</f>
        <v>216780.61</v>
      </c>
      <c r="F37">
        <f t="shared" si="2"/>
        <v>96701.281581689967</v>
      </c>
      <c r="J37" s="505" t="s">
        <v>893</v>
      </c>
    </row>
    <row r="38" spans="1:10" ht="15.75">
      <c r="A38" s="9" t="s">
        <v>729</v>
      </c>
      <c r="E38">
        <f>+Operations!C58</f>
        <v>0</v>
      </c>
      <c r="F38">
        <f t="shared" si="2"/>
        <v>0</v>
      </c>
      <c r="J38" s="505" t="s">
        <v>893</v>
      </c>
    </row>
    <row r="39" spans="1:10" ht="15.75">
      <c r="A39" s="9" t="s">
        <v>721</v>
      </c>
      <c r="E39">
        <f>+Operations!C59</f>
        <v>20418.990000000002</v>
      </c>
      <c r="F39">
        <f t="shared" si="2"/>
        <v>9108.483003178706</v>
      </c>
      <c r="J39" s="505" t="s">
        <v>893</v>
      </c>
    </row>
    <row r="40" spans="1:10" ht="15.75">
      <c r="A40" s="9" t="s">
        <v>710</v>
      </c>
      <c r="E40">
        <f>+Operations!C60</f>
        <v>44068.789999999994</v>
      </c>
      <c r="F40">
        <f t="shared" si="2"/>
        <v>19658.162557778403</v>
      </c>
      <c r="J40" s="505" t="s">
        <v>893</v>
      </c>
    </row>
    <row r="41" spans="1:10" ht="15.75">
      <c r="A41" s="9" t="s">
        <v>724</v>
      </c>
      <c r="E41">
        <f>+Operations!C61</f>
        <v>0</v>
      </c>
      <c r="F41">
        <f t="shared" si="2"/>
        <v>0</v>
      </c>
    </row>
    <row r="42" spans="1:10" ht="15.75">
      <c r="A42" s="9" t="s">
        <v>715</v>
      </c>
      <c r="E42">
        <f>+Operations!C62</f>
        <v>65246.69</v>
      </c>
      <c r="F42">
        <f t="shared" si="2"/>
        <v>29105.179388337525</v>
      </c>
      <c r="J42" s="505" t="s">
        <v>893</v>
      </c>
    </row>
    <row r="43" spans="1:10" ht="15.75">
      <c r="A43" s="9" t="s">
        <v>350</v>
      </c>
      <c r="E43">
        <f>+Operations!C63</f>
        <v>56841.99</v>
      </c>
      <c r="F43">
        <f t="shared" si="2"/>
        <v>25356.019067635272</v>
      </c>
      <c r="G43" s="505"/>
      <c r="J43" s="505" t="s">
        <v>893</v>
      </c>
    </row>
    <row r="44" spans="1:10" ht="15.75">
      <c r="A44" s="9" t="s">
        <v>730</v>
      </c>
      <c r="E44">
        <f>+Operations!C64</f>
        <v>32516.27</v>
      </c>
      <c r="J44" s="505" t="s">
        <v>835</v>
      </c>
    </row>
    <row r="45" spans="1:10" ht="15.75">
      <c r="A45" s="9" t="s">
        <v>704</v>
      </c>
      <c r="E45">
        <f>+Operations!C65</f>
        <v>449875.89000000007</v>
      </c>
      <c r="F45">
        <f t="shared" si="2"/>
        <v>200680.19513232014</v>
      </c>
      <c r="J45" s="505" t="s">
        <v>893</v>
      </c>
    </row>
    <row r="46" spans="1:10" ht="15.75">
      <c r="A46" s="9" t="s">
        <v>703</v>
      </c>
      <c r="E46">
        <f>+Operations!C66</f>
        <v>51492.84</v>
      </c>
      <c r="F46">
        <f>+E46</f>
        <v>51492.84</v>
      </c>
      <c r="J46" s="505" t="s">
        <v>898</v>
      </c>
    </row>
    <row r="47" spans="1:10" ht="15.75">
      <c r="A47" s="9" t="s">
        <v>352</v>
      </c>
      <c r="E47">
        <f>+Operations!C67</f>
        <v>6000</v>
      </c>
      <c r="F47">
        <f t="shared" si="2"/>
        <v>2676.4741066562174</v>
      </c>
      <c r="J47" s="505" t="s">
        <v>893</v>
      </c>
    </row>
    <row r="48" spans="1:10" ht="15.75">
      <c r="A48" s="9" t="s">
        <v>713</v>
      </c>
      <c r="E48">
        <f>+Operations!C68</f>
        <v>205712.58</v>
      </c>
      <c r="F48">
        <f t="shared" si="2"/>
        <v>91764.06563057426</v>
      </c>
      <c r="J48" s="505" t="s">
        <v>893</v>
      </c>
    </row>
    <row r="49" spans="1:10" ht="15.75">
      <c r="A49" s="9" t="s">
        <v>707</v>
      </c>
      <c r="E49">
        <f>+Operations!C69</f>
        <v>259702.26</v>
      </c>
      <c r="F49">
        <f t="shared" si="2"/>
        <v>115847.72905501678</v>
      </c>
      <c r="J49" s="505" t="s">
        <v>893</v>
      </c>
    </row>
    <row r="50" spans="1:10" ht="15.75">
      <c r="A50" s="9" t="s">
        <v>725</v>
      </c>
      <c r="E50">
        <f>+Operations!C70</f>
        <v>170.51</v>
      </c>
      <c r="F50">
        <f t="shared" si="2"/>
        <v>76.060933320991936</v>
      </c>
      <c r="J50" s="505" t="s">
        <v>893</v>
      </c>
    </row>
    <row r="51" spans="1:10" ht="15.75">
      <c r="A51" s="9" t="s">
        <v>717</v>
      </c>
      <c r="E51">
        <f>+Operations!C71</f>
        <v>10409.300000000001</v>
      </c>
      <c r="F51">
        <f>+E51*F$10</f>
        <v>4643.3703197360937</v>
      </c>
      <c r="G51" s="505"/>
      <c r="J51" s="505" t="s">
        <v>893</v>
      </c>
    </row>
    <row r="52" spans="1:10" ht="15.75">
      <c r="A52" s="9" t="s">
        <v>731</v>
      </c>
      <c r="E52">
        <f>+Operations!C72</f>
        <v>53535.37</v>
      </c>
      <c r="F52">
        <f>+E52*F$10</f>
        <v>23881.005265876676</v>
      </c>
      <c r="J52" s="505" t="s">
        <v>893</v>
      </c>
    </row>
    <row r="53" spans="1:10" ht="15.75">
      <c r="A53" s="9" t="s">
        <v>712</v>
      </c>
      <c r="E53">
        <f>+Operations!C73</f>
        <v>8936.41</v>
      </c>
      <c r="J53" s="505" t="s">
        <v>1025</v>
      </c>
    </row>
    <row r="54" spans="1:10" ht="15.75">
      <c r="A54" s="9" t="s">
        <v>728</v>
      </c>
      <c r="E54">
        <f>+Operations!C74</f>
        <v>-0.77</v>
      </c>
    </row>
    <row r="55" spans="1:10" ht="15.75">
      <c r="A55" s="9" t="s">
        <v>30</v>
      </c>
      <c r="E55">
        <f>+Operations!C75</f>
        <v>880.98</v>
      </c>
      <c r="F55">
        <v>0</v>
      </c>
      <c r="J55" s="505" t="s">
        <v>893</v>
      </c>
    </row>
    <row r="56" spans="1:10" ht="15.75">
      <c r="A56" s="9" t="s">
        <v>93</v>
      </c>
      <c r="E56">
        <f>+Operations!C76</f>
        <v>187892.43999999997</v>
      </c>
      <c r="J56" s="505" t="s">
        <v>1025</v>
      </c>
    </row>
    <row r="57" spans="1:10" ht="15.75">
      <c r="A57" s="9" t="s">
        <v>40</v>
      </c>
      <c r="E57">
        <f>+Operations!C77</f>
        <v>1186898.1299999999</v>
      </c>
      <c r="F57">
        <f>+'WP-1, pg 2 - Depreciation'!T391</f>
        <v>576334.07177733688</v>
      </c>
      <c r="J57" s="505" t="s">
        <v>893</v>
      </c>
    </row>
    <row r="58" spans="1:10" ht="15.75">
      <c r="A58" s="9" t="s">
        <v>413</v>
      </c>
      <c r="E58" s="617">
        <f>+Operations!C78</f>
        <v>0</v>
      </c>
      <c r="F58" s="617"/>
    </row>
    <row r="59" spans="1:10">
      <c r="E59">
        <f>SUM(E11:E58)</f>
        <v>13151787.940000001</v>
      </c>
      <c r="F59">
        <f>SUM(F11:F58)</f>
        <v>5544254.795821581</v>
      </c>
    </row>
    <row r="61" spans="1:10" ht="15.75">
      <c r="D61" s="644" t="s">
        <v>959</v>
      </c>
      <c r="E61">
        <f>+Operations!C80</f>
        <v>13151787.940000001</v>
      </c>
      <c r="F61">
        <f>+Operations!D80</f>
        <v>5544254.795821581</v>
      </c>
    </row>
    <row r="62" spans="1:10" ht="15.75">
      <c r="D62" s="644" t="s">
        <v>960</v>
      </c>
      <c r="E62">
        <f>+E61-E59</f>
        <v>0</v>
      </c>
      <c r="F62">
        <f>+F59-F61</f>
        <v>0</v>
      </c>
    </row>
  </sheetData>
  <mergeCells count="3">
    <mergeCell ref="A1:F1"/>
    <mergeCell ref="A3:F3"/>
    <mergeCell ref="A5:F5"/>
  </mergeCells>
  <phoneticPr fontId="53" type="noConversion"/>
  <pageMargins left="0.7" right="0.7" top="0.75" bottom="0.75" header="0.3" footer="0.3"/>
  <pageSetup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30DF-1C90-4E46-A05D-54561616850C}">
  <dimension ref="A1:P38"/>
  <sheetViews>
    <sheetView zoomScaleNormal="100" workbookViewId="0">
      <selection sqref="A1:F1"/>
    </sheetView>
  </sheetViews>
  <sheetFormatPr defaultRowHeight="15"/>
  <cols>
    <col min="6" max="6" width="9.88671875" bestFit="1" customWidth="1"/>
    <col min="11" max="11" width="10.21875" bestFit="1" customWidth="1"/>
    <col min="15" max="15" width="11.33203125" customWidth="1"/>
    <col min="16" max="16" width="14.44140625" customWidth="1"/>
  </cols>
  <sheetData>
    <row r="1" spans="1:16" ht="15.75">
      <c r="A1" s="974" t="str">
        <f>+'WP-9 - Disposal Fees'!A1:G1</f>
        <v>Consolidated Disposal Services, Inc.</v>
      </c>
      <c r="B1" s="974"/>
      <c r="C1" s="974"/>
      <c r="D1" s="974"/>
      <c r="E1" s="974"/>
      <c r="F1" s="974"/>
    </row>
    <row r="2" spans="1:16" ht="15.75">
      <c r="A2" s="337"/>
      <c r="B2" s="338"/>
      <c r="C2" s="338"/>
      <c r="D2" s="338"/>
      <c r="E2" s="338"/>
      <c r="F2" s="338"/>
    </row>
    <row r="3" spans="1:16" ht="15.75">
      <c r="A3" s="975" t="s">
        <v>1373</v>
      </c>
      <c r="B3" s="975"/>
      <c r="C3" s="975"/>
      <c r="D3" s="975"/>
      <c r="E3" s="975"/>
      <c r="F3" s="975"/>
    </row>
    <row r="4" spans="1:16" ht="15.75">
      <c r="A4" s="340"/>
      <c r="B4" s="340"/>
      <c r="C4" s="340"/>
      <c r="D4" s="340"/>
      <c r="E4" s="340"/>
      <c r="F4" s="340"/>
    </row>
    <row r="5" spans="1:16" ht="15.75">
      <c r="A5" s="974" t="str">
        <f>'WP-9 - Disposal Fees'!$A$5</f>
        <v>In Support of Tariff 8 effective April 1, 2025</v>
      </c>
      <c r="B5" s="974"/>
      <c r="C5" s="974"/>
      <c r="D5" s="974"/>
      <c r="E5" s="974"/>
      <c r="F5" s="974"/>
    </row>
    <row r="7" spans="1:16" ht="15.75">
      <c r="A7" s="615" t="s">
        <v>1346</v>
      </c>
    </row>
    <row r="8" spans="1:16">
      <c r="B8" t="s">
        <v>305</v>
      </c>
      <c r="D8" t="s">
        <v>1040</v>
      </c>
      <c r="F8" t="s">
        <v>688</v>
      </c>
      <c r="H8" t="s">
        <v>1041</v>
      </c>
      <c r="J8" t="s">
        <v>3</v>
      </c>
    </row>
    <row r="9" spans="1:16">
      <c r="A9" t="s">
        <v>1042</v>
      </c>
      <c r="M9" s="804">
        <v>2024</v>
      </c>
      <c r="N9" s="804">
        <v>2023</v>
      </c>
    </row>
    <row r="10" spans="1:16">
      <c r="B10" t="s">
        <v>1043</v>
      </c>
      <c r="D10" t="s">
        <v>1044</v>
      </c>
      <c r="F10" s="900">
        <v>45643</v>
      </c>
      <c r="H10" t="s">
        <v>1045</v>
      </c>
      <c r="J10">
        <v>-58972.88</v>
      </c>
      <c r="K10">
        <v>-58972.88</v>
      </c>
    </row>
    <row r="11" spans="1:16">
      <c r="B11" t="s">
        <v>1043</v>
      </c>
      <c r="F11" s="900">
        <v>45614</v>
      </c>
      <c r="H11" t="s">
        <v>1045</v>
      </c>
      <c r="J11">
        <v>-58972.88</v>
      </c>
      <c r="K11">
        <v>-58972.88</v>
      </c>
      <c r="M11">
        <f>-SUM(K10:K16)-3*K10</f>
        <v>579382.75</v>
      </c>
    </row>
    <row r="12" spans="1:16">
      <c r="B12" t="s">
        <v>1043</v>
      </c>
      <c r="D12" t="s">
        <v>1044</v>
      </c>
      <c r="F12" s="900">
        <v>45581</v>
      </c>
      <c r="H12" t="s">
        <v>1045</v>
      </c>
      <c r="J12">
        <v>-58972.88</v>
      </c>
      <c r="K12">
        <v>-58972.88</v>
      </c>
      <c r="M12" s="617">
        <f>-'WP-12, pg 2 - Insurance'!M12</f>
        <v>125566.09</v>
      </c>
      <c r="P12" t="s">
        <v>1061</v>
      </c>
    </row>
    <row r="13" spans="1:16">
      <c r="B13" t="s">
        <v>1043</v>
      </c>
      <c r="D13" t="s">
        <v>1044</v>
      </c>
      <c r="F13" s="900">
        <v>45552</v>
      </c>
      <c r="H13" t="s">
        <v>1045</v>
      </c>
      <c r="J13">
        <v>-58972.88</v>
      </c>
      <c r="K13">
        <v>-58972.88</v>
      </c>
      <c r="M13">
        <f>+M11+M12</f>
        <v>704948.84</v>
      </c>
      <c r="N13">
        <f>-SUM(K18:K32)</f>
        <v>586713.07000000007</v>
      </c>
      <c r="P13" s="805">
        <f>+M13-N13</f>
        <v>118235.7699999999</v>
      </c>
    </row>
    <row r="14" spans="1:16">
      <c r="B14" t="s">
        <v>1043</v>
      </c>
      <c r="D14" t="s">
        <v>1044</v>
      </c>
      <c r="F14" s="900">
        <v>45520</v>
      </c>
      <c r="H14" t="s">
        <v>1045</v>
      </c>
      <c r="J14">
        <v>-58972.88</v>
      </c>
      <c r="K14">
        <v>-58972.88</v>
      </c>
    </row>
    <row r="15" spans="1:16">
      <c r="B15" t="s">
        <v>1043</v>
      </c>
      <c r="D15" t="s">
        <v>1044</v>
      </c>
      <c r="F15" s="900">
        <v>45489</v>
      </c>
      <c r="H15" t="s">
        <v>1045</v>
      </c>
      <c r="J15">
        <v>-58972.88</v>
      </c>
      <c r="K15">
        <v>-58972.88</v>
      </c>
    </row>
    <row r="16" spans="1:16">
      <c r="B16" t="s">
        <v>1043</v>
      </c>
      <c r="D16" t="s">
        <v>1044</v>
      </c>
      <c r="F16" s="900">
        <v>45461</v>
      </c>
      <c r="H16" t="s">
        <v>1045</v>
      </c>
      <c r="J16">
        <v>-48626.83</v>
      </c>
      <c r="K16">
        <v>-48626.83</v>
      </c>
      <c r="M16" t="s">
        <v>1047</v>
      </c>
    </row>
    <row r="17" spans="2:15">
      <c r="B17" t="s">
        <v>1046</v>
      </c>
      <c r="D17" t="s">
        <v>346</v>
      </c>
      <c r="F17" s="900">
        <v>45413</v>
      </c>
      <c r="H17" t="s">
        <v>1045</v>
      </c>
      <c r="J17">
        <v>4583.67</v>
      </c>
    </row>
    <row r="18" spans="2:15">
      <c r="B18" t="s">
        <v>1043</v>
      </c>
      <c r="F18" s="900">
        <v>45369</v>
      </c>
      <c r="H18" t="s">
        <v>1045</v>
      </c>
      <c r="J18">
        <v>-47089.95</v>
      </c>
      <c r="K18">
        <v>-47089.95</v>
      </c>
      <c r="M18">
        <v>580028</v>
      </c>
      <c r="N18" s="505" t="s">
        <v>1347</v>
      </c>
    </row>
    <row r="19" spans="2:15">
      <c r="B19" t="s">
        <v>1043</v>
      </c>
      <c r="F19" s="900">
        <v>45338</v>
      </c>
      <c r="H19" t="s">
        <v>1045</v>
      </c>
      <c r="J19">
        <v>-47089.95</v>
      </c>
      <c r="K19">
        <v>-47089.95</v>
      </c>
      <c r="M19" s="617">
        <v>345021</v>
      </c>
      <c r="N19" s="505" t="s">
        <v>1348</v>
      </c>
    </row>
    <row r="20" spans="2:15">
      <c r="B20" t="s">
        <v>1043</v>
      </c>
      <c r="F20" s="900">
        <v>45307</v>
      </c>
      <c r="H20" t="s">
        <v>1045</v>
      </c>
      <c r="J20">
        <v>-47089.95</v>
      </c>
      <c r="K20">
        <v>-47089.95</v>
      </c>
      <c r="M20">
        <f>+M18-M19</f>
        <v>235007</v>
      </c>
      <c r="N20" s="505" t="s">
        <v>4</v>
      </c>
    </row>
    <row r="21" spans="2:15">
      <c r="B21" t="s">
        <v>1043</v>
      </c>
      <c r="F21" s="900">
        <v>45278</v>
      </c>
      <c r="H21" t="s">
        <v>1045</v>
      </c>
      <c r="J21">
        <v>-47089.95</v>
      </c>
      <c r="K21">
        <v>-47089.95</v>
      </c>
      <c r="M21" s="580">
        <f>+M20/M19</f>
        <v>0.68113824955582414</v>
      </c>
    </row>
    <row r="22" spans="2:15">
      <c r="B22" t="s">
        <v>1043</v>
      </c>
      <c r="F22" s="900">
        <v>45246</v>
      </c>
      <c r="H22" t="s">
        <v>1045</v>
      </c>
      <c r="J22">
        <v>-47089.95</v>
      </c>
      <c r="K22">
        <v>-47089.95</v>
      </c>
    </row>
    <row r="23" spans="2:15">
      <c r="B23" t="s">
        <v>1043</v>
      </c>
      <c r="F23" s="900">
        <v>45216</v>
      </c>
      <c r="H23" t="s">
        <v>1045</v>
      </c>
      <c r="J23">
        <v>-47089.95</v>
      </c>
      <c r="K23">
        <v>-47089.95</v>
      </c>
    </row>
    <row r="24" spans="2:15">
      <c r="B24" t="s">
        <v>1043</v>
      </c>
      <c r="F24" s="900">
        <v>45187</v>
      </c>
      <c r="H24" t="s">
        <v>1045</v>
      </c>
      <c r="J24">
        <v>-44735.45</v>
      </c>
      <c r="K24">
        <v>-44735.45</v>
      </c>
      <c r="N24">
        <v>717380.85</v>
      </c>
      <c r="O24" t="s">
        <v>1349</v>
      </c>
    </row>
    <row r="25" spans="2:15">
      <c r="B25" t="s">
        <v>1043</v>
      </c>
      <c r="F25" s="900">
        <v>45169</v>
      </c>
      <c r="H25" t="s">
        <v>1045</v>
      </c>
      <c r="J25">
        <v>-49444.45</v>
      </c>
      <c r="K25">
        <v>-49444.45</v>
      </c>
      <c r="N25" s="617">
        <v>81758</v>
      </c>
      <c r="O25" t="s">
        <v>1349</v>
      </c>
    </row>
    <row r="26" spans="2:15">
      <c r="B26" t="s">
        <v>1048</v>
      </c>
      <c r="D26" t="s">
        <v>1049</v>
      </c>
      <c r="F26" s="900">
        <v>45162</v>
      </c>
      <c r="H26" t="s">
        <v>1045</v>
      </c>
      <c r="J26">
        <v>0</v>
      </c>
      <c r="K26">
        <v>0</v>
      </c>
      <c r="N26">
        <f>+N24+N25</f>
        <v>799138.85</v>
      </c>
      <c r="O26" t="s">
        <v>1350</v>
      </c>
    </row>
    <row r="27" spans="2:15">
      <c r="B27" t="s">
        <v>1048</v>
      </c>
      <c r="D27" t="s">
        <v>1050</v>
      </c>
      <c r="F27" s="900">
        <v>45152</v>
      </c>
      <c r="H27" t="s">
        <v>1045</v>
      </c>
      <c r="J27">
        <v>0</v>
      </c>
      <c r="K27">
        <v>0</v>
      </c>
      <c r="N27" s="617">
        <f>+Operations!C55</f>
        <v>530274.07000000007</v>
      </c>
      <c r="O27" t="s">
        <v>1351</v>
      </c>
    </row>
    <row r="28" spans="2:15">
      <c r="B28" t="s">
        <v>1048</v>
      </c>
      <c r="D28" t="s">
        <v>1051</v>
      </c>
      <c r="F28" s="900">
        <v>45118</v>
      </c>
      <c r="H28" t="s">
        <v>1045</v>
      </c>
      <c r="J28">
        <v>-48262.33</v>
      </c>
      <c r="K28">
        <v>-48262.33</v>
      </c>
      <c r="N28">
        <f>+N26-N27</f>
        <v>268864.77999999991</v>
      </c>
      <c r="O28" t="s">
        <v>1352</v>
      </c>
    </row>
    <row r="29" spans="2:15">
      <c r="B29" t="s">
        <v>1052</v>
      </c>
      <c r="D29" t="s">
        <v>1053</v>
      </c>
      <c r="F29" s="900">
        <v>45103</v>
      </c>
      <c r="H29" t="s">
        <v>1054</v>
      </c>
      <c r="J29">
        <v>-48262.33</v>
      </c>
      <c r="N29" s="902">
        <f>+'WP-11 - Non-Regulated'!K40</f>
        <v>0.5539209822239638</v>
      </c>
      <c r="O29" t="s">
        <v>1353</v>
      </c>
    </row>
    <row r="30" spans="2:15">
      <c r="B30" t="s">
        <v>1048</v>
      </c>
      <c r="D30" t="s">
        <v>1055</v>
      </c>
      <c r="F30" s="900">
        <v>45092</v>
      </c>
      <c r="H30" t="s">
        <v>1045</v>
      </c>
      <c r="J30">
        <v>-48262.33</v>
      </c>
      <c r="K30">
        <v>-48262.33</v>
      </c>
      <c r="N30">
        <f>+N28*N29</f>
        <v>148929.84302302988</v>
      </c>
      <c r="O30" t="s">
        <v>1354</v>
      </c>
    </row>
    <row r="31" spans="2:15">
      <c r="B31" t="s">
        <v>1052</v>
      </c>
      <c r="D31" t="s">
        <v>1056</v>
      </c>
      <c r="F31" s="900">
        <v>45077</v>
      </c>
      <c r="H31" t="s">
        <v>1054</v>
      </c>
      <c r="J31">
        <v>-48262.33</v>
      </c>
    </row>
    <row r="32" spans="2:15">
      <c r="B32" t="s">
        <v>1048</v>
      </c>
      <c r="D32" t="s">
        <v>1057</v>
      </c>
      <c r="F32" s="900">
        <v>45063</v>
      </c>
      <c r="H32" t="s">
        <v>1045</v>
      </c>
      <c r="J32">
        <v>-113468.81</v>
      </c>
      <c r="K32">
        <v>-113468.81</v>
      </c>
    </row>
    <row r="33" spans="1:11">
      <c r="B33" t="s">
        <v>1052</v>
      </c>
      <c r="D33" t="s">
        <v>1058</v>
      </c>
      <c r="F33" s="900">
        <v>45062</v>
      </c>
      <c r="H33" t="s">
        <v>1054</v>
      </c>
      <c r="J33">
        <v>-113468.81</v>
      </c>
    </row>
    <row r="34" spans="1:11">
      <c r="B34" t="s">
        <v>1048</v>
      </c>
      <c r="D34" t="s">
        <v>1059</v>
      </c>
      <c r="F34" s="900">
        <v>44974</v>
      </c>
      <c r="H34" t="s">
        <v>1045</v>
      </c>
      <c r="J34">
        <v>-4583.67</v>
      </c>
      <c r="K34">
        <v>-4583.67</v>
      </c>
    </row>
    <row r="35" spans="1:11">
      <c r="B35" t="s">
        <v>1043</v>
      </c>
      <c r="F35" s="900">
        <v>44973</v>
      </c>
      <c r="H35" t="s">
        <v>1045</v>
      </c>
      <c r="J35">
        <v>-4583.67</v>
      </c>
      <c r="K35">
        <v>-4583.67</v>
      </c>
    </row>
    <row r="36" spans="1:11">
      <c r="B36" t="s">
        <v>1052</v>
      </c>
      <c r="D36" t="s">
        <v>1060</v>
      </c>
      <c r="F36" s="900">
        <v>44958</v>
      </c>
      <c r="H36" t="s">
        <v>1054</v>
      </c>
      <c r="J36">
        <v>-4583.67</v>
      </c>
    </row>
    <row r="37" spans="1:11">
      <c r="B37" t="s">
        <v>1043</v>
      </c>
      <c r="F37" s="900">
        <v>44943</v>
      </c>
      <c r="H37" t="s">
        <v>1045</v>
      </c>
      <c r="J37">
        <v>-4583.67</v>
      </c>
      <c r="K37">
        <v>-4583.67</v>
      </c>
    </row>
    <row r="38" spans="1:11">
      <c r="A38" t="s">
        <v>1042</v>
      </c>
      <c r="K38">
        <v>-1002928.1899999998</v>
      </c>
    </row>
  </sheetData>
  <mergeCells count="3">
    <mergeCell ref="A1:F1"/>
    <mergeCell ref="A3:F3"/>
    <mergeCell ref="A5:F5"/>
  </mergeCells>
  <pageMargins left="0.7" right="0.7" top="0.75" bottom="0.75" header="0.3" footer="0.3"/>
  <pageSetup scale="4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EF7F-9F15-4D1E-9C0B-E58314663F8F}">
  <dimension ref="A1:O49"/>
  <sheetViews>
    <sheetView zoomScaleNormal="100" workbookViewId="0">
      <selection sqref="A1:F1"/>
    </sheetView>
  </sheetViews>
  <sheetFormatPr defaultRowHeight="15"/>
  <cols>
    <col min="11" max="11" width="11.77734375" customWidth="1"/>
    <col min="12" max="12" width="9.88671875" customWidth="1"/>
    <col min="13" max="13" width="11.21875" bestFit="1" customWidth="1"/>
    <col min="14" max="14" width="12.109375" customWidth="1"/>
  </cols>
  <sheetData>
    <row r="1" spans="1:15" ht="15.75">
      <c r="A1" s="974" t="str">
        <f>+'WP-9 - Disposal Fees'!A1:G1</f>
        <v>Consolidated Disposal Services, Inc.</v>
      </c>
      <c r="B1" s="974"/>
      <c r="C1" s="974"/>
      <c r="D1" s="974"/>
      <c r="E1" s="974"/>
      <c r="F1" s="974"/>
    </row>
    <row r="2" spans="1:15" ht="15.75">
      <c r="A2" s="337"/>
      <c r="B2" s="338"/>
      <c r="C2" s="338"/>
      <c r="D2" s="338"/>
      <c r="E2" s="338"/>
      <c r="F2" s="338"/>
    </row>
    <row r="3" spans="1:15" ht="15.75">
      <c r="A3" s="975" t="s">
        <v>1374</v>
      </c>
      <c r="B3" s="975"/>
      <c r="C3" s="975"/>
      <c r="D3" s="975"/>
      <c r="E3" s="975"/>
      <c r="F3" s="975"/>
    </row>
    <row r="4" spans="1:15" ht="15.75">
      <c r="A4" s="340"/>
      <c r="B4" s="340"/>
      <c r="C4" s="340"/>
      <c r="D4" s="340"/>
      <c r="E4" s="340"/>
      <c r="F4" s="340"/>
    </row>
    <row r="5" spans="1:15" ht="15.75">
      <c r="A5" s="974" t="str">
        <f>'WP-9 - Disposal Fees'!$A$5</f>
        <v>In Support of Tariff 8 effective April 1, 2025</v>
      </c>
      <c r="B5" s="974"/>
      <c r="C5" s="974"/>
      <c r="D5" s="974"/>
      <c r="E5" s="974"/>
      <c r="F5" s="974"/>
    </row>
    <row r="7" spans="1:15">
      <c r="B7" t="s">
        <v>1376</v>
      </c>
    </row>
    <row r="8" spans="1:15">
      <c r="B8" t="s">
        <v>1377</v>
      </c>
    </row>
    <row r="9" spans="1:15" ht="15.75" thickBot="1">
      <c r="A9" s="806"/>
      <c r="B9" s="807" t="s">
        <v>305</v>
      </c>
      <c r="C9" s="806"/>
      <c r="D9" s="807" t="s">
        <v>1040</v>
      </c>
      <c r="E9" s="806"/>
      <c r="F9" s="807" t="s">
        <v>688</v>
      </c>
      <c r="G9" s="806"/>
      <c r="H9" s="807" t="s">
        <v>1041</v>
      </c>
      <c r="I9" s="806"/>
      <c r="J9" s="807" t="s">
        <v>3</v>
      </c>
      <c r="K9" s="808"/>
      <c r="L9" s="808"/>
      <c r="M9" s="808"/>
      <c r="N9" s="808"/>
      <c r="O9" s="808"/>
    </row>
    <row r="10" spans="1:15" ht="15.75" thickTop="1">
      <c r="A10" s="251" t="s">
        <v>1042</v>
      </c>
      <c r="B10" s="251"/>
      <c r="C10" s="251"/>
      <c r="D10" s="251"/>
      <c r="E10" s="251"/>
      <c r="F10" s="809"/>
      <c r="G10" s="251"/>
      <c r="H10" s="251"/>
      <c r="I10" s="251"/>
      <c r="J10" s="810"/>
      <c r="M10" s="804">
        <v>2024</v>
      </c>
      <c r="N10" s="804">
        <v>2023</v>
      </c>
    </row>
    <row r="11" spans="1:15">
      <c r="A11" s="811"/>
      <c r="B11" s="811" t="s">
        <v>1048</v>
      </c>
      <c r="C11" s="811"/>
      <c r="D11" s="811" t="s">
        <v>1062</v>
      </c>
      <c r="E11" s="811"/>
      <c r="F11" s="812">
        <v>45610</v>
      </c>
      <c r="G11" s="811"/>
      <c r="H11" s="811" t="s">
        <v>1045</v>
      </c>
      <c r="I11" s="811"/>
      <c r="J11" s="252">
        <v>-5107</v>
      </c>
      <c r="K11" s="813">
        <f>+J11</f>
        <v>-5107</v>
      </c>
      <c r="M11" s="521">
        <f>-J11-J15-J17-J19-J20-J21-J23-J25-J29-J31-J13</f>
        <v>187381.68</v>
      </c>
      <c r="N11" s="521">
        <f>-J32-J35-J37-J40-J42-J44-J45</f>
        <v>35466.259999999995</v>
      </c>
    </row>
    <row r="12" spans="1:15">
      <c r="A12" s="811"/>
      <c r="B12" s="811" t="s">
        <v>1052</v>
      </c>
      <c r="C12" s="811"/>
      <c r="D12" s="811" t="s">
        <v>1063</v>
      </c>
      <c r="E12" s="811"/>
      <c r="F12" s="812">
        <v>45583</v>
      </c>
      <c r="G12" s="811"/>
      <c r="H12" s="811" t="s">
        <v>1054</v>
      </c>
      <c r="I12" s="811"/>
      <c r="J12" s="252">
        <v>-5107</v>
      </c>
      <c r="M12" s="813">
        <f>J22</f>
        <v>-125566.09</v>
      </c>
    </row>
    <row r="13" spans="1:15">
      <c r="A13" s="811"/>
      <c r="B13" s="811" t="s">
        <v>1048</v>
      </c>
      <c r="C13" s="811"/>
      <c r="D13" s="811" t="s">
        <v>1064</v>
      </c>
      <c r="E13" s="811"/>
      <c r="F13" s="812">
        <v>45580</v>
      </c>
      <c r="G13" s="811"/>
      <c r="H13" s="811" t="s">
        <v>1045</v>
      </c>
      <c r="I13" s="811"/>
      <c r="J13" s="252">
        <v>-630</v>
      </c>
      <c r="K13" s="813">
        <f>+J13</f>
        <v>-630</v>
      </c>
      <c r="M13" s="521">
        <f>+M11+M12</f>
        <v>61815.59</v>
      </c>
    </row>
    <row r="14" spans="1:15">
      <c r="A14" s="811"/>
      <c r="B14" s="811" t="s">
        <v>1052</v>
      </c>
      <c r="C14" s="811"/>
      <c r="D14" s="811"/>
      <c r="E14" s="811"/>
      <c r="F14" s="812">
        <v>45565</v>
      </c>
      <c r="G14" s="811"/>
      <c r="H14" s="811" t="s">
        <v>1054</v>
      </c>
      <c r="I14" s="811"/>
      <c r="J14" s="252">
        <v>-630</v>
      </c>
    </row>
    <row r="15" spans="1:15">
      <c r="A15" s="811"/>
      <c r="B15" s="811" t="s">
        <v>1048</v>
      </c>
      <c r="C15" s="811"/>
      <c r="D15" s="811" t="s">
        <v>1065</v>
      </c>
      <c r="E15" s="811"/>
      <c r="F15" s="812">
        <v>45523</v>
      </c>
      <c r="G15" s="811"/>
      <c r="H15" s="811" t="s">
        <v>1045</v>
      </c>
      <c r="I15" s="811"/>
      <c r="J15" s="252">
        <v>-1050</v>
      </c>
      <c r="K15" s="813">
        <f>+J15</f>
        <v>-1050</v>
      </c>
    </row>
    <row r="16" spans="1:15">
      <c r="A16" s="811"/>
      <c r="B16" s="811" t="s">
        <v>1052</v>
      </c>
      <c r="C16" s="811"/>
      <c r="D16" s="811"/>
      <c r="E16" s="811"/>
      <c r="F16" s="812">
        <v>45504</v>
      </c>
      <c r="G16" s="811"/>
      <c r="H16" s="811" t="s">
        <v>1054</v>
      </c>
      <c r="I16" s="811"/>
      <c r="J16" s="252">
        <v>-1050</v>
      </c>
    </row>
    <row r="17" spans="1:12">
      <c r="A17" s="811"/>
      <c r="B17" s="811" t="s">
        <v>1048</v>
      </c>
      <c r="C17" s="811"/>
      <c r="D17" s="811" t="s">
        <v>1066</v>
      </c>
      <c r="E17" s="811"/>
      <c r="F17" s="812">
        <v>45489</v>
      </c>
      <c r="G17" s="811"/>
      <c r="H17" s="811" t="s">
        <v>1045</v>
      </c>
      <c r="I17" s="811"/>
      <c r="J17" s="252">
        <v>-667</v>
      </c>
      <c r="K17" s="813">
        <f>+J17</f>
        <v>-667</v>
      </c>
    </row>
    <row r="18" spans="1:12">
      <c r="A18" s="811"/>
      <c r="B18" s="811" t="s">
        <v>1052</v>
      </c>
      <c r="C18" s="811"/>
      <c r="D18" s="811"/>
      <c r="E18" s="811"/>
      <c r="F18" s="812">
        <v>45475</v>
      </c>
      <c r="G18" s="811"/>
      <c r="H18" s="811" t="s">
        <v>1054</v>
      </c>
      <c r="I18" s="811"/>
      <c r="J18" s="252">
        <v>-667</v>
      </c>
    </row>
    <row r="19" spans="1:12">
      <c r="A19" s="811"/>
      <c r="B19" s="811" t="s">
        <v>1048</v>
      </c>
      <c r="C19" s="811"/>
      <c r="D19" s="811" t="s">
        <v>1067</v>
      </c>
      <c r="E19" s="811"/>
      <c r="F19" s="812">
        <v>45456</v>
      </c>
      <c r="G19" s="811"/>
      <c r="H19" s="811" t="s">
        <v>1045</v>
      </c>
      <c r="I19" s="811"/>
      <c r="J19" s="252">
        <v>-324</v>
      </c>
      <c r="K19" s="813">
        <f>+J19</f>
        <v>-324</v>
      </c>
    </row>
    <row r="20" spans="1:12">
      <c r="A20" s="811"/>
      <c r="B20" s="811" t="s">
        <v>1043</v>
      </c>
      <c r="C20" s="811"/>
      <c r="D20" s="811" t="s">
        <v>1068</v>
      </c>
      <c r="E20" s="811"/>
      <c r="F20" s="812">
        <v>45454</v>
      </c>
      <c r="G20" s="811"/>
      <c r="H20" s="811" t="s">
        <v>1045</v>
      </c>
      <c r="I20" s="811"/>
      <c r="J20" s="252">
        <v>-30624.48</v>
      </c>
      <c r="L20" s="813">
        <f>+J20</f>
        <v>-30624.48</v>
      </c>
    </row>
    <row r="21" spans="1:12">
      <c r="A21" s="811"/>
      <c r="B21" s="811" t="s">
        <v>1043</v>
      </c>
      <c r="C21" s="811"/>
      <c r="D21" s="811" t="s">
        <v>1069</v>
      </c>
      <c r="E21" s="811"/>
      <c r="F21" s="812">
        <v>45447</v>
      </c>
      <c r="G21" s="811"/>
      <c r="H21" s="811" t="s">
        <v>1045</v>
      </c>
      <c r="I21" s="811"/>
      <c r="J21" s="252">
        <v>-5138.1400000000003</v>
      </c>
      <c r="L21" s="813">
        <f>+J21</f>
        <v>-5138.1400000000003</v>
      </c>
    </row>
    <row r="22" spans="1:12">
      <c r="A22" s="811"/>
      <c r="B22" s="811" t="s">
        <v>1052</v>
      </c>
      <c r="C22" s="811"/>
      <c r="D22" s="811"/>
      <c r="E22" s="811"/>
      <c r="F22" s="812">
        <v>45427</v>
      </c>
      <c r="G22" s="811"/>
      <c r="H22" s="811" t="s">
        <v>1054</v>
      </c>
      <c r="I22" s="811"/>
      <c r="J22" s="252">
        <v>-125566.09</v>
      </c>
    </row>
    <row r="23" spans="1:12">
      <c r="A23" s="811"/>
      <c r="B23" s="811" t="s">
        <v>1048</v>
      </c>
      <c r="C23" s="811"/>
      <c r="D23" s="811" t="s">
        <v>1070</v>
      </c>
      <c r="E23" s="811"/>
      <c r="F23" s="812">
        <v>45427</v>
      </c>
      <c r="G23" s="811"/>
      <c r="H23" s="811" t="s">
        <v>1045</v>
      </c>
      <c r="I23" s="811"/>
      <c r="J23" s="252">
        <v>-125566.09</v>
      </c>
      <c r="K23" s="813">
        <f>+J23</f>
        <v>-125566.09</v>
      </c>
    </row>
    <row r="24" spans="1:12">
      <c r="A24" s="811"/>
      <c r="B24" s="811" t="s">
        <v>1052</v>
      </c>
      <c r="C24" s="811"/>
      <c r="D24" s="811" t="s">
        <v>1071</v>
      </c>
      <c r="E24" s="811"/>
      <c r="F24" s="812">
        <v>45426</v>
      </c>
      <c r="G24" s="811"/>
      <c r="H24" s="811" t="s">
        <v>1054</v>
      </c>
      <c r="I24" s="811"/>
      <c r="J24" s="252">
        <v>-324</v>
      </c>
    </row>
    <row r="25" spans="1:12">
      <c r="A25" s="811"/>
      <c r="B25" s="811" t="s">
        <v>1048</v>
      </c>
      <c r="C25" s="811"/>
      <c r="D25" s="811" t="s">
        <v>1072</v>
      </c>
      <c r="E25" s="811"/>
      <c r="F25" s="812">
        <v>45365</v>
      </c>
      <c r="G25" s="811"/>
      <c r="H25" s="811" t="s">
        <v>1045</v>
      </c>
      <c r="I25" s="811"/>
      <c r="J25" s="252">
        <v>-2233.15</v>
      </c>
      <c r="K25" s="813">
        <f>+J25</f>
        <v>-2233.15</v>
      </c>
    </row>
    <row r="26" spans="1:12">
      <c r="A26" s="811"/>
      <c r="B26" s="811" t="s">
        <v>1052</v>
      </c>
      <c r="C26" s="811"/>
      <c r="D26" s="811" t="s">
        <v>1073</v>
      </c>
      <c r="E26" s="811"/>
      <c r="F26" s="812">
        <v>45352</v>
      </c>
      <c r="G26" s="811"/>
      <c r="H26" s="811" t="s">
        <v>1054</v>
      </c>
      <c r="I26" s="811"/>
      <c r="J26" s="252">
        <v>-420</v>
      </c>
    </row>
    <row r="27" spans="1:12">
      <c r="A27" s="811"/>
      <c r="B27" s="811" t="s">
        <v>1052</v>
      </c>
      <c r="C27" s="811"/>
      <c r="D27" s="811" t="s">
        <v>1074</v>
      </c>
      <c r="E27" s="811"/>
      <c r="F27" s="812">
        <v>45352</v>
      </c>
      <c r="G27" s="811"/>
      <c r="H27" s="811" t="s">
        <v>1054</v>
      </c>
      <c r="I27" s="811"/>
      <c r="J27" s="252">
        <v>-1028.1500000000001</v>
      </c>
    </row>
    <row r="28" spans="1:12">
      <c r="A28" s="811"/>
      <c r="B28" s="811" t="s">
        <v>1052</v>
      </c>
      <c r="C28" s="811"/>
      <c r="D28" s="811" t="s">
        <v>1075</v>
      </c>
      <c r="E28" s="811"/>
      <c r="F28" s="812">
        <v>45352</v>
      </c>
      <c r="G28" s="811"/>
      <c r="H28" s="811" t="s">
        <v>1054</v>
      </c>
      <c r="I28" s="811"/>
      <c r="J28" s="252">
        <v>-785</v>
      </c>
    </row>
    <row r="29" spans="1:12">
      <c r="A29" s="811"/>
      <c r="B29" s="811" t="s">
        <v>1048</v>
      </c>
      <c r="C29" s="811"/>
      <c r="D29" s="811" t="s">
        <v>1076</v>
      </c>
      <c r="E29" s="811"/>
      <c r="F29" s="812">
        <v>45335</v>
      </c>
      <c r="G29" s="811"/>
      <c r="H29" s="811" t="s">
        <v>1045</v>
      </c>
      <c r="I29" s="811"/>
      <c r="J29" s="252">
        <v>-14319.82</v>
      </c>
      <c r="K29" s="813">
        <f>+J29</f>
        <v>-14319.82</v>
      </c>
    </row>
    <row r="30" spans="1:12">
      <c r="A30" s="811"/>
      <c r="B30" s="811" t="s">
        <v>1052</v>
      </c>
      <c r="C30" s="811"/>
      <c r="D30" s="811" t="s">
        <v>1077</v>
      </c>
      <c r="E30" s="811"/>
      <c r="F30" s="812">
        <v>45322</v>
      </c>
      <c r="G30" s="811"/>
      <c r="H30" s="811" t="s">
        <v>1054</v>
      </c>
      <c r="I30" s="811"/>
      <c r="J30" s="252">
        <v>-14319.82</v>
      </c>
    </row>
    <row r="31" spans="1:12">
      <c r="A31" s="811"/>
      <c r="B31" s="811" t="s">
        <v>1048</v>
      </c>
      <c r="C31" s="811"/>
      <c r="D31" s="811" t="s">
        <v>1078</v>
      </c>
      <c r="E31" s="811"/>
      <c r="F31" s="812">
        <v>45303</v>
      </c>
      <c r="G31" s="811"/>
      <c r="H31" s="811" t="s">
        <v>1045</v>
      </c>
      <c r="I31" s="811"/>
      <c r="J31" s="252">
        <v>-1722</v>
      </c>
      <c r="K31" s="813">
        <f>+J31</f>
        <v>-1722</v>
      </c>
    </row>
    <row r="32" spans="1:12">
      <c r="A32" s="811"/>
      <c r="B32" s="811" t="s">
        <v>1048</v>
      </c>
      <c r="C32" s="811"/>
      <c r="D32" s="811" t="s">
        <v>1079</v>
      </c>
      <c r="E32" s="811"/>
      <c r="F32" s="812">
        <v>45243</v>
      </c>
      <c r="G32" s="811"/>
      <c r="H32" s="811" t="s">
        <v>1045</v>
      </c>
      <c r="I32" s="811"/>
      <c r="J32" s="252">
        <v>-210</v>
      </c>
      <c r="K32" s="813">
        <f>+J32</f>
        <v>-210</v>
      </c>
    </row>
    <row r="33" spans="1:15">
      <c r="A33" s="811"/>
      <c r="B33" s="811" t="s">
        <v>1052</v>
      </c>
      <c r="C33" s="811"/>
      <c r="D33" s="811" t="s">
        <v>1080</v>
      </c>
      <c r="E33" s="811"/>
      <c r="F33" s="812">
        <v>45231</v>
      </c>
      <c r="G33" s="811"/>
      <c r="H33" s="811" t="s">
        <v>1054</v>
      </c>
      <c r="I33" s="811"/>
      <c r="J33" s="252">
        <v>-210</v>
      </c>
    </row>
    <row r="34" spans="1:15">
      <c r="A34" s="811"/>
      <c r="B34" s="811" t="s">
        <v>1052</v>
      </c>
      <c r="C34" s="811"/>
      <c r="D34" s="811" t="s">
        <v>1081</v>
      </c>
      <c r="E34" s="811"/>
      <c r="F34" s="812">
        <v>45222</v>
      </c>
      <c r="G34" s="811"/>
      <c r="H34" s="811" t="s">
        <v>1054</v>
      </c>
      <c r="I34" s="811"/>
      <c r="J34" s="252">
        <v>-1722</v>
      </c>
      <c r="K34" s="813"/>
    </row>
    <row r="35" spans="1:15">
      <c r="A35" s="811"/>
      <c r="B35" s="811" t="s">
        <v>1048</v>
      </c>
      <c r="C35" s="811"/>
      <c r="D35" s="811" t="s">
        <v>1082</v>
      </c>
      <c r="E35" s="811"/>
      <c r="F35" s="812">
        <v>45211</v>
      </c>
      <c r="G35" s="811"/>
      <c r="H35" s="811" t="s">
        <v>1045</v>
      </c>
      <c r="I35" s="811"/>
      <c r="J35" s="252">
        <v>-420</v>
      </c>
      <c r="K35" s="813">
        <f>+J35</f>
        <v>-420</v>
      </c>
    </row>
    <row r="36" spans="1:15">
      <c r="A36" s="811"/>
      <c r="B36" s="811" t="s">
        <v>1052</v>
      </c>
      <c r="C36" s="811"/>
      <c r="D36" s="811" t="s">
        <v>1083</v>
      </c>
      <c r="E36" s="811"/>
      <c r="F36" s="812">
        <v>45201</v>
      </c>
      <c r="G36" s="811"/>
      <c r="H36" s="811" t="s">
        <v>1054</v>
      </c>
      <c r="I36" s="811"/>
      <c r="J36" s="252">
        <v>-420</v>
      </c>
    </row>
    <row r="37" spans="1:15">
      <c r="A37" s="811"/>
      <c r="B37" s="811" t="s">
        <v>1048</v>
      </c>
      <c r="C37" s="811"/>
      <c r="D37" s="811" t="s">
        <v>1084</v>
      </c>
      <c r="E37" s="811"/>
      <c r="F37" s="812">
        <v>45152</v>
      </c>
      <c r="G37" s="811"/>
      <c r="H37" s="811" t="s">
        <v>1045</v>
      </c>
      <c r="I37" s="811"/>
      <c r="J37" s="252">
        <v>-1050</v>
      </c>
      <c r="K37" s="813">
        <f>+J37</f>
        <v>-1050</v>
      </c>
    </row>
    <row r="38" spans="1:15">
      <c r="A38" s="811"/>
      <c r="B38" s="811" t="s">
        <v>1052</v>
      </c>
      <c r="C38" s="811"/>
      <c r="D38" s="811" t="s">
        <v>1085</v>
      </c>
      <c r="E38" s="811"/>
      <c r="F38" s="812">
        <v>45139</v>
      </c>
      <c r="G38" s="811"/>
      <c r="H38" s="811" t="s">
        <v>1054</v>
      </c>
      <c r="I38" s="811"/>
      <c r="J38" s="252">
        <v>-1050</v>
      </c>
    </row>
    <row r="39" spans="1:15">
      <c r="A39" s="811"/>
      <c r="B39" s="811" t="s">
        <v>1052</v>
      </c>
      <c r="C39" s="811"/>
      <c r="D39" s="811"/>
      <c r="E39" s="811"/>
      <c r="F39" s="812">
        <v>45118</v>
      </c>
      <c r="G39" s="811"/>
      <c r="H39" s="811" t="s">
        <v>1054</v>
      </c>
      <c r="I39" s="811"/>
      <c r="J39" s="252">
        <v>-998</v>
      </c>
    </row>
    <row r="40" spans="1:15">
      <c r="A40" s="811"/>
      <c r="B40" s="811" t="s">
        <v>1048</v>
      </c>
      <c r="C40" s="811"/>
      <c r="D40" s="811" t="s">
        <v>1086</v>
      </c>
      <c r="E40" s="811"/>
      <c r="F40" s="812">
        <v>45118</v>
      </c>
      <c r="G40" s="811"/>
      <c r="H40" s="811" t="s">
        <v>1045</v>
      </c>
      <c r="I40" s="811"/>
      <c r="J40" s="252">
        <v>-998</v>
      </c>
      <c r="K40" s="813">
        <f>+J40</f>
        <v>-998</v>
      </c>
    </row>
    <row r="41" spans="1:15">
      <c r="A41" s="811"/>
      <c r="B41" s="811" t="s">
        <v>1052</v>
      </c>
      <c r="C41" s="811"/>
      <c r="D41" s="811" t="s">
        <v>1087</v>
      </c>
      <c r="E41" s="811"/>
      <c r="F41" s="812">
        <v>45098</v>
      </c>
      <c r="G41" s="811"/>
      <c r="H41" s="811" t="s">
        <v>1054</v>
      </c>
      <c r="I41" s="811"/>
      <c r="J41" s="252">
        <v>-8049</v>
      </c>
    </row>
    <row r="42" spans="1:15">
      <c r="A42" s="811"/>
      <c r="B42" s="811" t="s">
        <v>1048</v>
      </c>
      <c r="C42" s="811"/>
      <c r="D42" s="811" t="s">
        <v>1088</v>
      </c>
      <c r="E42" s="811"/>
      <c r="F42" s="812">
        <v>45098</v>
      </c>
      <c r="G42" s="811"/>
      <c r="H42" s="811" t="s">
        <v>1045</v>
      </c>
      <c r="I42" s="811"/>
      <c r="J42" s="252">
        <v>-8049</v>
      </c>
      <c r="K42" s="813">
        <f>+J42</f>
        <v>-8049</v>
      </c>
    </row>
    <row r="43" spans="1:15">
      <c r="A43" s="811"/>
      <c r="B43" s="811" t="s">
        <v>1052</v>
      </c>
      <c r="C43" s="811"/>
      <c r="D43" s="811" t="s">
        <v>1089</v>
      </c>
      <c r="E43" s="811"/>
      <c r="F43" s="812">
        <v>45078</v>
      </c>
      <c r="G43" s="811"/>
      <c r="H43" s="811" t="s">
        <v>1054</v>
      </c>
      <c r="I43" s="811"/>
      <c r="J43" s="252">
        <v>-22219.26</v>
      </c>
    </row>
    <row r="44" spans="1:15">
      <c r="A44" s="811"/>
      <c r="B44" s="811" t="s">
        <v>1048</v>
      </c>
      <c r="C44" s="811"/>
      <c r="D44" s="811" t="s">
        <v>1090</v>
      </c>
      <c r="E44" s="811"/>
      <c r="F44" s="812">
        <v>45078</v>
      </c>
      <c r="G44" s="811"/>
      <c r="H44" s="811" t="s">
        <v>1045</v>
      </c>
      <c r="I44" s="811"/>
      <c r="J44" s="252">
        <v>-22219.26</v>
      </c>
      <c r="K44" s="813">
        <f>+J44</f>
        <v>-22219.26</v>
      </c>
    </row>
    <row r="45" spans="1:15">
      <c r="A45" s="811"/>
      <c r="B45" s="811" t="s">
        <v>1048</v>
      </c>
      <c r="C45" s="811"/>
      <c r="D45" s="811" t="s">
        <v>1091</v>
      </c>
      <c r="E45" s="811"/>
      <c r="F45" s="812">
        <v>44999</v>
      </c>
      <c r="G45" s="811"/>
      <c r="H45" s="811" t="s">
        <v>1045</v>
      </c>
      <c r="I45" s="811"/>
      <c r="J45" s="252">
        <v>-2520</v>
      </c>
      <c r="K45" s="813">
        <f>+J45</f>
        <v>-2520</v>
      </c>
    </row>
    <row r="46" spans="1:15">
      <c r="A46" s="811"/>
      <c r="B46" s="811" t="s">
        <v>1052</v>
      </c>
      <c r="C46" s="811"/>
      <c r="D46" s="811" t="s">
        <v>1092</v>
      </c>
      <c r="E46" s="811"/>
      <c r="F46" s="812">
        <v>44992</v>
      </c>
      <c r="G46" s="811"/>
      <c r="H46" s="811" t="s">
        <v>1054</v>
      </c>
      <c r="I46" s="811"/>
      <c r="J46" s="252">
        <v>-420</v>
      </c>
      <c r="K46">
        <f>SUM(K10:K45)</f>
        <v>-187085.32</v>
      </c>
      <c r="L46" s="813">
        <f>SUM(L20:L45)</f>
        <v>-35762.620000000003</v>
      </c>
      <c r="M46" s="521">
        <f>+K46+L46</f>
        <v>-222847.94</v>
      </c>
    </row>
    <row r="47" spans="1:15">
      <c r="A47" s="811"/>
      <c r="B47" s="811" t="s">
        <v>1052</v>
      </c>
      <c r="C47" s="811"/>
      <c r="D47" s="811" t="s">
        <v>1093</v>
      </c>
      <c r="E47" s="811"/>
      <c r="F47" s="812">
        <v>44973</v>
      </c>
      <c r="G47" s="811"/>
      <c r="H47" s="811" t="s">
        <v>1054</v>
      </c>
      <c r="I47" s="811"/>
      <c r="J47" s="252">
        <v>-2100</v>
      </c>
    </row>
    <row r="48" spans="1:15">
      <c r="A48" s="251" t="s">
        <v>1042</v>
      </c>
      <c r="B48" s="251"/>
      <c r="C48" s="251"/>
      <c r="D48" s="251"/>
      <c r="E48" s="251"/>
      <c r="F48" s="809"/>
      <c r="G48" s="251"/>
      <c r="H48" s="251"/>
      <c r="I48" s="251"/>
      <c r="J48" s="810">
        <f>SUM(J11:J47)</f>
        <v>-409933.26000000007</v>
      </c>
      <c r="K48" s="814"/>
      <c r="L48" s="814"/>
      <c r="M48" s="814"/>
      <c r="N48" s="814"/>
      <c r="O48" s="814"/>
    </row>
    <row r="49" spans="1:10">
      <c r="A49" s="804"/>
      <c r="B49" s="804"/>
      <c r="C49" s="804"/>
      <c r="D49" s="804"/>
      <c r="E49" s="804"/>
      <c r="F49" s="804"/>
      <c r="G49" s="804"/>
      <c r="H49" s="804"/>
      <c r="I49" s="804"/>
      <c r="J49" s="804"/>
    </row>
  </sheetData>
  <mergeCells count="3">
    <mergeCell ref="A1:F1"/>
    <mergeCell ref="A3:F3"/>
    <mergeCell ref="A5:F5"/>
  </mergeCells>
  <pageMargins left="0.7" right="0.7" top="0.75" bottom="0.75" header="0.3" footer="0.3"/>
  <pageSetup scale="45" orientation="portrait" horizontalDpi="1200" verticalDpi="1200"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Q290"/>
  <sheetViews>
    <sheetView zoomScale="85" zoomScaleNormal="85" workbookViewId="0"/>
  </sheetViews>
  <sheetFormatPr defaultColWidth="8.88671875" defaultRowHeight="12.75"/>
  <cols>
    <col min="1" max="1" width="31.21875" style="246" customWidth="1"/>
    <col min="2" max="13" width="12.6640625" style="245" customWidth="1"/>
    <col min="14" max="14" width="1.88671875" style="245" customWidth="1"/>
    <col min="15" max="15" width="15.6640625" style="245" customWidth="1"/>
    <col min="16" max="16" width="18" style="246" customWidth="1"/>
    <col min="17" max="17" width="12.44140625" style="246" customWidth="1"/>
    <col min="18" max="16384" width="8.88671875" style="246"/>
  </cols>
  <sheetData>
    <row r="1" spans="1:17">
      <c r="A1" s="244" t="s">
        <v>107</v>
      </c>
    </row>
    <row r="2" spans="1:17">
      <c r="B2" s="247">
        <v>2023</v>
      </c>
      <c r="C2" s="247">
        <v>2023</v>
      </c>
      <c r="D2" s="247">
        <v>2023</v>
      </c>
      <c r="E2" s="247">
        <v>2023</v>
      </c>
      <c r="F2" s="247">
        <v>2023</v>
      </c>
      <c r="G2" s="247">
        <v>2023</v>
      </c>
      <c r="H2" s="247">
        <v>2023</v>
      </c>
      <c r="I2" s="247">
        <v>2023</v>
      </c>
      <c r="J2" s="247">
        <v>2023</v>
      </c>
      <c r="K2" s="247">
        <v>2023</v>
      </c>
      <c r="L2" s="247">
        <v>2023</v>
      </c>
      <c r="M2" s="247">
        <v>2023</v>
      </c>
    </row>
    <row r="3" spans="1:17">
      <c r="A3" s="248"/>
      <c r="B3" s="249" t="s">
        <v>63</v>
      </c>
      <c r="C3" s="249" t="s">
        <v>64</v>
      </c>
      <c r="D3" s="249" t="s">
        <v>65</v>
      </c>
      <c r="E3" s="249" t="s">
        <v>66</v>
      </c>
      <c r="F3" s="249" t="s">
        <v>67</v>
      </c>
      <c r="G3" s="249" t="s">
        <v>68</v>
      </c>
      <c r="H3" s="249" t="s">
        <v>69</v>
      </c>
      <c r="I3" s="249" t="s">
        <v>70</v>
      </c>
      <c r="J3" s="249" t="s">
        <v>62</v>
      </c>
      <c r="K3" s="249" t="s">
        <v>61</v>
      </c>
      <c r="L3" s="249" t="s">
        <v>60</v>
      </c>
      <c r="M3" s="249" t="s">
        <v>59</v>
      </c>
      <c r="O3" s="249" t="s">
        <v>106</v>
      </c>
      <c r="P3" s="246" t="s">
        <v>360</v>
      </c>
    </row>
    <row r="4" spans="1:17">
      <c r="A4" s="250" t="s">
        <v>105</v>
      </c>
    </row>
    <row r="5" spans="1:17">
      <c r="A5" s="251" t="s">
        <v>415</v>
      </c>
      <c r="B5" s="252">
        <v>204538.71</v>
      </c>
      <c r="C5" s="252">
        <v>201975.67999999999</v>
      </c>
      <c r="D5" s="252">
        <v>205545.68</v>
      </c>
      <c r="E5" s="252">
        <v>266148.65000000002</v>
      </c>
      <c r="F5" s="252">
        <v>260341.78</v>
      </c>
      <c r="G5" s="252">
        <v>255962.73</v>
      </c>
      <c r="H5" s="252">
        <v>260991.46</v>
      </c>
      <c r="I5" s="252">
        <v>257592.77</v>
      </c>
      <c r="J5" s="252">
        <v>261286.58</v>
      </c>
      <c r="K5" s="252">
        <v>255862.83</v>
      </c>
      <c r="L5" s="252">
        <v>258784.01</v>
      </c>
      <c r="M5" s="252">
        <v>252724.14</v>
      </c>
      <c r="N5" s="252"/>
      <c r="O5" s="253">
        <f>SUM(B5:M5)</f>
        <v>2941755.02</v>
      </c>
      <c r="Q5" s="253">
        <f>SUM(O5:O21)</f>
        <v>4780349.66</v>
      </c>
    </row>
    <row r="6" spans="1:17">
      <c r="A6" s="251" t="s">
        <v>416</v>
      </c>
      <c r="B6" s="252">
        <v>10975.38</v>
      </c>
      <c r="C6" s="252">
        <v>10912.98</v>
      </c>
      <c r="D6" s="252">
        <v>11038.82</v>
      </c>
      <c r="E6" s="252">
        <v>10931.44</v>
      </c>
      <c r="F6" s="252">
        <v>11035.7</v>
      </c>
      <c r="G6" s="252">
        <v>11089</v>
      </c>
      <c r="H6" s="252">
        <v>11157.64</v>
      </c>
      <c r="I6" s="252">
        <v>11083.8</v>
      </c>
      <c r="J6" s="252">
        <v>11151.92</v>
      </c>
      <c r="K6" s="252">
        <v>11148.02</v>
      </c>
      <c r="L6" s="252">
        <v>11101.22</v>
      </c>
      <c r="M6" s="252">
        <v>11103.04</v>
      </c>
      <c r="N6" s="252"/>
      <c r="O6" s="253">
        <f t="shared" ref="O6:O69" si="0">SUM(B6:M6)</f>
        <v>132728.96000000002</v>
      </c>
    </row>
    <row r="7" spans="1:17">
      <c r="A7" s="251" t="s">
        <v>417</v>
      </c>
      <c r="B7" s="252">
        <v>14349.6</v>
      </c>
      <c r="C7" s="252">
        <v>14247.71</v>
      </c>
      <c r="D7" s="252">
        <v>14346.91</v>
      </c>
      <c r="E7" s="252">
        <v>14287.57</v>
      </c>
      <c r="F7" s="252">
        <v>14280.47</v>
      </c>
      <c r="G7" s="252">
        <v>14433.74</v>
      </c>
      <c r="H7" s="252">
        <v>14168.12</v>
      </c>
      <c r="I7" s="252">
        <v>14284.04</v>
      </c>
      <c r="J7" s="252">
        <v>14402.78</v>
      </c>
      <c r="K7" s="252">
        <v>14398.34</v>
      </c>
      <c r="L7" s="252">
        <v>14434.65</v>
      </c>
      <c r="M7" s="252">
        <v>14567.8</v>
      </c>
      <c r="N7" s="252"/>
      <c r="O7" s="253">
        <f t="shared" si="0"/>
        <v>172201.72999999998</v>
      </c>
    </row>
    <row r="8" spans="1:17">
      <c r="A8" s="251" t="s">
        <v>418</v>
      </c>
      <c r="B8" s="252">
        <v>8576.6200000000008</v>
      </c>
      <c r="C8" s="252">
        <v>8569.7999999999993</v>
      </c>
      <c r="D8" s="252">
        <v>8683.11</v>
      </c>
      <c r="E8" s="252">
        <v>8561.2800000000007</v>
      </c>
      <c r="F8" s="252">
        <v>8599.07</v>
      </c>
      <c r="G8" s="252">
        <v>8785.51</v>
      </c>
      <c r="H8" s="252">
        <v>8641.68</v>
      </c>
      <c r="I8" s="252">
        <v>8704.98</v>
      </c>
      <c r="J8" s="252">
        <v>8688.5300000000007</v>
      </c>
      <c r="K8" s="252">
        <v>8799.9</v>
      </c>
      <c r="L8" s="252">
        <v>9009.5400000000009</v>
      </c>
      <c r="M8" s="252">
        <v>8853.5300000000007</v>
      </c>
      <c r="N8" s="252"/>
      <c r="O8" s="253">
        <f t="shared" si="0"/>
        <v>104473.54999999999</v>
      </c>
    </row>
    <row r="9" spans="1:17">
      <c r="A9" s="251" t="s">
        <v>419</v>
      </c>
      <c r="B9" s="252">
        <v>15405.22</v>
      </c>
      <c r="C9" s="252">
        <v>15331.34</v>
      </c>
      <c r="D9" s="252">
        <v>15659.36</v>
      </c>
      <c r="E9" s="252">
        <v>15816.15</v>
      </c>
      <c r="F9" s="252">
        <v>16077.82</v>
      </c>
      <c r="G9" s="252">
        <v>15875.02</v>
      </c>
      <c r="H9" s="252">
        <v>16987.099999999999</v>
      </c>
      <c r="I9" s="252">
        <v>17206.830000000002</v>
      </c>
      <c r="J9" s="252">
        <v>17158.45</v>
      </c>
      <c r="K9" s="252">
        <v>17064.77</v>
      </c>
      <c r="L9" s="252">
        <v>16973.7</v>
      </c>
      <c r="M9" s="252">
        <v>16894.400000000001</v>
      </c>
      <c r="N9" s="252"/>
      <c r="O9" s="253">
        <f t="shared" si="0"/>
        <v>196450.16</v>
      </c>
    </row>
    <row r="10" spans="1:17">
      <c r="A10" s="251" t="s">
        <v>420</v>
      </c>
      <c r="B10" s="252">
        <v>11055.26</v>
      </c>
      <c r="C10" s="252">
        <v>10932.24</v>
      </c>
      <c r="D10" s="252">
        <v>10911.26</v>
      </c>
      <c r="E10" s="252">
        <v>10942</v>
      </c>
      <c r="F10" s="252">
        <v>11024.06</v>
      </c>
      <c r="G10" s="252">
        <v>11121.29</v>
      </c>
      <c r="H10" s="252">
        <v>11233.79</v>
      </c>
      <c r="I10" s="252">
        <v>11180.11</v>
      </c>
      <c r="J10" s="252">
        <v>11099.73</v>
      </c>
      <c r="K10" s="252">
        <v>11089.64</v>
      </c>
      <c r="L10" s="252">
        <v>11174.32</v>
      </c>
      <c r="M10" s="252">
        <v>11379.67</v>
      </c>
      <c r="N10" s="252"/>
      <c r="O10" s="253">
        <f t="shared" si="0"/>
        <v>133143.37</v>
      </c>
    </row>
    <row r="11" spans="1:17">
      <c r="A11" s="251" t="s">
        <v>421</v>
      </c>
      <c r="B11" s="252">
        <v>13866.09</v>
      </c>
      <c r="C11" s="252">
        <v>13846.69</v>
      </c>
      <c r="D11" s="252">
        <v>13851.11</v>
      </c>
      <c r="E11" s="252">
        <v>13815.19</v>
      </c>
      <c r="F11" s="252">
        <v>13910.22</v>
      </c>
      <c r="G11" s="252">
        <v>14005.24</v>
      </c>
      <c r="H11" s="252">
        <v>13932.43</v>
      </c>
      <c r="I11" s="252">
        <v>13991.86</v>
      </c>
      <c r="J11" s="252">
        <v>13978.31</v>
      </c>
      <c r="K11" s="252">
        <v>13903.41</v>
      </c>
      <c r="L11" s="252">
        <v>13981.55</v>
      </c>
      <c r="M11" s="252">
        <v>14113.43</v>
      </c>
      <c r="N11" s="252"/>
      <c r="O11" s="253">
        <f t="shared" si="0"/>
        <v>167195.52999999997</v>
      </c>
    </row>
    <row r="12" spans="1:17">
      <c r="A12" s="251" t="s">
        <v>422</v>
      </c>
      <c r="B12" s="252">
        <v>7521.5</v>
      </c>
      <c r="C12" s="252">
        <v>7409.5</v>
      </c>
      <c r="D12" s="252">
        <v>7399.9</v>
      </c>
      <c r="E12" s="252">
        <v>7421</v>
      </c>
      <c r="F12" s="252">
        <v>7414.7</v>
      </c>
      <c r="G12" s="252">
        <v>7532.75</v>
      </c>
      <c r="H12" s="252">
        <v>7466</v>
      </c>
      <c r="I12" s="252">
        <v>7476.1</v>
      </c>
      <c r="J12" s="252">
        <v>7446.12</v>
      </c>
      <c r="K12" s="252">
        <v>7436.74</v>
      </c>
      <c r="L12" s="252">
        <v>7415</v>
      </c>
      <c r="M12" s="252">
        <v>7481.87</v>
      </c>
      <c r="N12" s="252"/>
      <c r="O12" s="253">
        <f t="shared" si="0"/>
        <v>89421.18</v>
      </c>
    </row>
    <row r="13" spans="1:17">
      <c r="A13" s="251" t="s">
        <v>423</v>
      </c>
      <c r="B13" s="252">
        <v>9964.7999999999993</v>
      </c>
      <c r="C13" s="252">
        <v>9645.32</v>
      </c>
      <c r="D13" s="252">
        <v>9842.85</v>
      </c>
      <c r="E13" s="252">
        <v>9880.91</v>
      </c>
      <c r="F13" s="252">
        <v>9810.74</v>
      </c>
      <c r="G13" s="252">
        <v>9568.89</v>
      </c>
      <c r="H13" s="252">
        <v>9600.09</v>
      </c>
      <c r="I13" s="252">
        <v>9597.85</v>
      </c>
      <c r="J13" s="252">
        <v>9641.2999999999993</v>
      </c>
      <c r="K13" s="252">
        <v>9581.75</v>
      </c>
      <c r="L13" s="252">
        <v>9818.5</v>
      </c>
      <c r="M13" s="252">
        <v>10074.719999999999</v>
      </c>
      <c r="N13" s="252"/>
      <c r="O13" s="253">
        <f t="shared" si="0"/>
        <v>117027.72000000002</v>
      </c>
    </row>
    <row r="14" spans="1:17">
      <c r="A14" s="251" t="s">
        <v>424</v>
      </c>
      <c r="B14" s="252">
        <v>3220.96</v>
      </c>
      <c r="C14" s="252">
        <v>3187.16</v>
      </c>
      <c r="D14" s="252">
        <v>3195.52</v>
      </c>
      <c r="E14" s="252">
        <v>3190.98</v>
      </c>
      <c r="F14" s="252">
        <v>3279.01</v>
      </c>
      <c r="G14" s="252">
        <v>3214.04</v>
      </c>
      <c r="H14" s="252">
        <v>3191.74</v>
      </c>
      <c r="I14" s="252">
        <v>3212.03</v>
      </c>
      <c r="J14" s="252">
        <v>3273.32</v>
      </c>
      <c r="K14" s="252">
        <v>3274.5</v>
      </c>
      <c r="L14" s="252">
        <v>3231.96</v>
      </c>
      <c r="M14" s="252">
        <v>2960.87</v>
      </c>
      <c r="N14" s="252"/>
      <c r="O14" s="253">
        <f t="shared" si="0"/>
        <v>38432.089999999997</v>
      </c>
    </row>
    <row r="15" spans="1:17">
      <c r="A15" s="251" t="s">
        <v>425</v>
      </c>
      <c r="B15" s="252">
        <v>2915.01</v>
      </c>
      <c r="C15" s="252">
        <v>2895.42</v>
      </c>
      <c r="D15" s="252">
        <v>2877.52</v>
      </c>
      <c r="E15" s="252">
        <v>2878.63</v>
      </c>
      <c r="F15" s="252">
        <v>2883.11</v>
      </c>
      <c r="G15" s="252">
        <v>2856.25</v>
      </c>
      <c r="H15" s="252">
        <v>2853.45</v>
      </c>
      <c r="I15" s="252">
        <v>2896.63</v>
      </c>
      <c r="J15" s="252">
        <v>2905.67</v>
      </c>
      <c r="K15" s="252">
        <v>2903.81</v>
      </c>
      <c r="L15" s="252">
        <v>2876.39</v>
      </c>
      <c r="M15" s="252">
        <v>2901.02</v>
      </c>
      <c r="N15" s="252"/>
      <c r="O15" s="253">
        <f t="shared" si="0"/>
        <v>34642.910000000003</v>
      </c>
    </row>
    <row r="16" spans="1:17">
      <c r="A16" s="251" t="s">
        <v>426</v>
      </c>
      <c r="B16" s="252">
        <v>1969.37</v>
      </c>
      <c r="C16" s="252">
        <v>1985.46</v>
      </c>
      <c r="D16" s="252">
        <v>1975.11</v>
      </c>
      <c r="E16" s="252">
        <v>2013.09</v>
      </c>
      <c r="F16" s="252">
        <v>2004.77</v>
      </c>
      <c r="G16" s="252">
        <v>2075.2800000000002</v>
      </c>
      <c r="H16" s="252">
        <v>2148.87</v>
      </c>
      <c r="I16" s="252">
        <v>2104.1</v>
      </c>
      <c r="J16" s="252">
        <v>2125.54</v>
      </c>
      <c r="K16" s="252">
        <v>2347.7800000000002</v>
      </c>
      <c r="L16" s="252">
        <v>2102.88</v>
      </c>
      <c r="M16" s="252">
        <v>2102.88</v>
      </c>
      <c r="N16" s="252"/>
      <c r="O16" s="253">
        <f t="shared" si="0"/>
        <v>24955.13</v>
      </c>
    </row>
    <row r="17" spans="1:15">
      <c r="A17" s="251" t="s">
        <v>427</v>
      </c>
      <c r="B17" s="252">
        <v>32583.9</v>
      </c>
      <c r="C17" s="252">
        <v>44710.37</v>
      </c>
      <c r="D17" s="252">
        <v>32373.06</v>
      </c>
      <c r="E17" s="252">
        <v>57461.4</v>
      </c>
      <c r="F17" s="252">
        <v>41546.69</v>
      </c>
      <c r="G17" s="252">
        <v>56093.48</v>
      </c>
      <c r="H17" s="252">
        <v>42123.54</v>
      </c>
      <c r="I17" s="252">
        <v>56272.53</v>
      </c>
      <c r="J17" s="252">
        <v>42173.43</v>
      </c>
      <c r="K17" s="252">
        <v>56423.63</v>
      </c>
      <c r="L17" s="252">
        <v>41527.03</v>
      </c>
      <c r="M17" s="252">
        <v>54850.12</v>
      </c>
      <c r="N17" s="252"/>
      <c r="O17" s="253">
        <f t="shared" si="0"/>
        <v>558139.17999999993</v>
      </c>
    </row>
    <row r="18" spans="1:15">
      <c r="A18" s="251" t="s">
        <v>428</v>
      </c>
      <c r="B18" s="252">
        <v>12.34</v>
      </c>
      <c r="C18" s="252">
        <v>12.34</v>
      </c>
      <c r="D18" s="252">
        <v>12.34</v>
      </c>
      <c r="E18" s="252">
        <v>12.34</v>
      </c>
      <c r="F18" s="252">
        <v>12.34</v>
      </c>
      <c r="G18" s="252">
        <v>12.34</v>
      </c>
      <c r="H18" s="252">
        <v>12.34</v>
      </c>
      <c r="I18" s="252">
        <v>12.34</v>
      </c>
      <c r="J18" s="252">
        <v>12.34</v>
      </c>
      <c r="K18" s="252">
        <v>12.34</v>
      </c>
      <c r="L18" s="252">
        <v>12.34</v>
      </c>
      <c r="M18" s="252">
        <v>0</v>
      </c>
      <c r="N18" s="252"/>
      <c r="O18" s="253">
        <f t="shared" si="0"/>
        <v>135.74</v>
      </c>
    </row>
    <row r="19" spans="1:15">
      <c r="A19" s="251" t="s">
        <v>429</v>
      </c>
      <c r="B19" s="252">
        <v>3497.83</v>
      </c>
      <c r="C19" s="252">
        <v>3485.21</v>
      </c>
      <c r="D19" s="252">
        <v>3524.3</v>
      </c>
      <c r="E19" s="252">
        <v>3568.56</v>
      </c>
      <c r="F19" s="252">
        <v>3614.15</v>
      </c>
      <c r="G19" s="252">
        <v>3501.55</v>
      </c>
      <c r="H19" s="252">
        <v>3674.19</v>
      </c>
      <c r="I19" s="252">
        <v>3670.7</v>
      </c>
      <c r="J19" s="252">
        <v>3663.33</v>
      </c>
      <c r="K19" s="252">
        <v>3649.74</v>
      </c>
      <c r="L19" s="252">
        <v>3686.97</v>
      </c>
      <c r="M19" s="252">
        <v>3651.19</v>
      </c>
      <c r="N19" s="252"/>
      <c r="O19" s="253">
        <f t="shared" si="0"/>
        <v>43187.72</v>
      </c>
    </row>
    <row r="20" spans="1:15">
      <c r="A20" s="251" t="s">
        <v>430</v>
      </c>
      <c r="B20" s="252">
        <v>966.74</v>
      </c>
      <c r="C20" s="252">
        <v>966.74</v>
      </c>
      <c r="D20" s="252">
        <v>973.98</v>
      </c>
      <c r="E20" s="252">
        <v>966.74</v>
      </c>
      <c r="F20" s="252">
        <v>992.08</v>
      </c>
      <c r="G20" s="252">
        <v>1006.56</v>
      </c>
      <c r="H20" s="252">
        <v>995.7</v>
      </c>
      <c r="I20" s="252">
        <v>973.98</v>
      </c>
      <c r="J20" s="252">
        <v>984.84</v>
      </c>
      <c r="K20" s="252">
        <v>966.74</v>
      </c>
      <c r="L20" s="252">
        <v>963.12</v>
      </c>
      <c r="M20" s="252">
        <v>959.5</v>
      </c>
      <c r="N20" s="252"/>
      <c r="O20" s="253">
        <f t="shared" si="0"/>
        <v>11716.720000000001</v>
      </c>
    </row>
    <row r="21" spans="1:15">
      <c r="A21" s="251" t="s">
        <v>431</v>
      </c>
      <c r="B21" s="252">
        <v>1196.1300000000001</v>
      </c>
      <c r="C21" s="252">
        <v>1172.6099999999999</v>
      </c>
      <c r="D21" s="252">
        <v>1174.5899999999999</v>
      </c>
      <c r="E21" s="252">
        <v>1174.57</v>
      </c>
      <c r="F21" s="252">
        <v>1181.6199999999999</v>
      </c>
      <c r="G21" s="252">
        <v>1189.25</v>
      </c>
      <c r="H21" s="252">
        <v>1214.67</v>
      </c>
      <c r="I21" s="252">
        <v>1302.7</v>
      </c>
      <c r="J21" s="252">
        <v>1305.78</v>
      </c>
      <c r="K21" s="252">
        <v>1305.8800000000001</v>
      </c>
      <c r="L21" s="252">
        <v>1276.9100000000001</v>
      </c>
      <c r="M21" s="252">
        <v>1248.24</v>
      </c>
      <c r="N21" s="252"/>
      <c r="O21" s="253">
        <f t="shared" si="0"/>
        <v>14742.949999999999</v>
      </c>
    </row>
    <row r="22" spans="1:15">
      <c r="A22" s="251" t="s">
        <v>432</v>
      </c>
      <c r="B22" s="252">
        <v>127334.61</v>
      </c>
      <c r="C22" s="252">
        <v>131753.66</v>
      </c>
      <c r="D22" s="252">
        <v>136831.67000000001</v>
      </c>
      <c r="E22" s="252">
        <v>174754.64</v>
      </c>
      <c r="F22" s="252">
        <v>182479.84</v>
      </c>
      <c r="G22" s="252">
        <v>187298.63</v>
      </c>
      <c r="H22" s="252">
        <v>192061.11</v>
      </c>
      <c r="I22" s="252">
        <v>193702.65</v>
      </c>
      <c r="J22" s="252">
        <v>188492.71</v>
      </c>
      <c r="K22" s="252">
        <v>183377.08</v>
      </c>
      <c r="L22" s="252">
        <v>174523.51999999999</v>
      </c>
      <c r="M22" s="252">
        <v>159286.57</v>
      </c>
      <c r="N22" s="252"/>
      <c r="O22" s="253">
        <f t="shared" si="0"/>
        <v>2031896.6900000002</v>
      </c>
    </row>
    <row r="23" spans="1:15">
      <c r="A23" s="251" t="s">
        <v>433</v>
      </c>
      <c r="B23" s="252">
        <v>19923.28</v>
      </c>
      <c r="C23" s="252">
        <v>20291.7</v>
      </c>
      <c r="D23" s="252">
        <v>20011.759999999998</v>
      </c>
      <c r="E23" s="252">
        <v>20721.22</v>
      </c>
      <c r="F23" s="252">
        <v>20343.439999999999</v>
      </c>
      <c r="G23" s="252">
        <v>20750.599999999999</v>
      </c>
      <c r="H23" s="252">
        <v>21670.1</v>
      </c>
      <c r="I23" s="252">
        <v>21035.040000000001</v>
      </c>
      <c r="J23" s="252">
        <v>21039.200000000001</v>
      </c>
      <c r="K23" s="252">
        <v>21076.32</v>
      </c>
      <c r="L23" s="252">
        <v>21485.86</v>
      </c>
      <c r="M23" s="252">
        <v>20671.82</v>
      </c>
      <c r="N23" s="252"/>
      <c r="O23" s="253">
        <f t="shared" si="0"/>
        <v>249020.34000000003</v>
      </c>
    </row>
    <row r="24" spans="1:15">
      <c r="A24" s="251" t="s">
        <v>434</v>
      </c>
      <c r="B24" s="252">
        <v>7153.83</v>
      </c>
      <c r="C24" s="252">
        <v>7420.55</v>
      </c>
      <c r="D24" s="252">
        <v>7514.4</v>
      </c>
      <c r="E24" s="252">
        <v>7470.9</v>
      </c>
      <c r="F24" s="252">
        <v>7747.35</v>
      </c>
      <c r="G24" s="252">
        <v>8473.92</v>
      </c>
      <c r="H24" s="252">
        <v>8461.66</v>
      </c>
      <c r="I24" s="252">
        <v>8501.74</v>
      </c>
      <c r="J24" s="252">
        <v>8798.19</v>
      </c>
      <c r="K24" s="252">
        <v>8198.4599999999991</v>
      </c>
      <c r="L24" s="252">
        <v>8795.67</v>
      </c>
      <c r="M24" s="252">
        <v>7789.39</v>
      </c>
      <c r="N24" s="252"/>
      <c r="O24" s="253">
        <f t="shared" si="0"/>
        <v>96326.06</v>
      </c>
    </row>
    <row r="25" spans="1:15">
      <c r="A25" s="251" t="s">
        <v>435</v>
      </c>
      <c r="B25" s="252">
        <v>12702.49</v>
      </c>
      <c r="C25" s="252">
        <v>13602.4</v>
      </c>
      <c r="D25" s="252">
        <v>12989.89</v>
      </c>
      <c r="E25" s="252">
        <v>13663.47</v>
      </c>
      <c r="F25" s="252">
        <v>13733.05</v>
      </c>
      <c r="G25" s="252">
        <v>13035.1</v>
      </c>
      <c r="H25" s="252">
        <v>14348.74</v>
      </c>
      <c r="I25" s="252">
        <v>13110.49</v>
      </c>
      <c r="J25" s="252">
        <v>13401.95</v>
      </c>
      <c r="K25" s="252">
        <v>13366.04</v>
      </c>
      <c r="L25" s="252">
        <v>12474.17</v>
      </c>
      <c r="M25" s="252">
        <v>12024.06</v>
      </c>
      <c r="N25" s="252"/>
      <c r="O25" s="253">
        <f t="shared" si="0"/>
        <v>158451.85000000003</v>
      </c>
    </row>
    <row r="26" spans="1:15">
      <c r="A26" s="251" t="s">
        <v>436</v>
      </c>
      <c r="B26" s="252">
        <v>8931.57</v>
      </c>
      <c r="C26" s="252">
        <v>8954.31</v>
      </c>
      <c r="D26" s="252">
        <v>9398.6200000000008</v>
      </c>
      <c r="E26" s="252">
        <v>9427.93</v>
      </c>
      <c r="F26" s="252">
        <v>9602.11</v>
      </c>
      <c r="G26" s="252">
        <v>9400.3700000000008</v>
      </c>
      <c r="H26" s="252">
        <v>9880.14</v>
      </c>
      <c r="I26" s="252">
        <v>9975.48</v>
      </c>
      <c r="J26" s="252">
        <v>9887.57</v>
      </c>
      <c r="K26" s="252">
        <v>10085.31</v>
      </c>
      <c r="L26" s="252">
        <v>9903.43</v>
      </c>
      <c r="M26" s="252">
        <v>9577.65</v>
      </c>
      <c r="N26" s="252"/>
      <c r="O26" s="253">
        <f t="shared" si="0"/>
        <v>115024.48999999999</v>
      </c>
    </row>
    <row r="27" spans="1:15">
      <c r="A27" s="251" t="s">
        <v>437</v>
      </c>
      <c r="B27" s="252">
        <v>18556.3</v>
      </c>
      <c r="C27" s="252">
        <v>18413.48</v>
      </c>
      <c r="D27" s="252">
        <v>18632.27</v>
      </c>
      <c r="E27" s="252">
        <v>18789.84</v>
      </c>
      <c r="F27" s="252">
        <v>19362.87</v>
      </c>
      <c r="G27" s="252">
        <v>19014.849999999999</v>
      </c>
      <c r="H27" s="252">
        <v>19174.310000000001</v>
      </c>
      <c r="I27" s="252">
        <v>19104.490000000002</v>
      </c>
      <c r="J27" s="252">
        <v>19798.89</v>
      </c>
      <c r="K27" s="252">
        <v>19826.080000000002</v>
      </c>
      <c r="L27" s="252">
        <v>19465.169999999998</v>
      </c>
      <c r="M27" s="252">
        <v>18975.82</v>
      </c>
      <c r="N27" s="252"/>
      <c r="O27" s="253">
        <f t="shared" si="0"/>
        <v>229114.37</v>
      </c>
    </row>
    <row r="28" spans="1:15">
      <c r="A28" s="251" t="s">
        <v>438</v>
      </c>
      <c r="B28" s="252">
        <v>26095.01</v>
      </c>
      <c r="C28" s="252">
        <v>27881.3</v>
      </c>
      <c r="D28" s="252">
        <v>29821.85</v>
      </c>
      <c r="E28" s="252">
        <v>28838.34</v>
      </c>
      <c r="F28" s="252">
        <v>29352.17</v>
      </c>
      <c r="G28" s="252">
        <v>28720.82</v>
      </c>
      <c r="H28" s="252">
        <v>30424.79</v>
      </c>
      <c r="I28" s="252">
        <v>28638.97</v>
      </c>
      <c r="J28" s="252">
        <v>29427.9</v>
      </c>
      <c r="K28" s="252">
        <v>28709.119999999999</v>
      </c>
      <c r="L28" s="252">
        <v>28909.59</v>
      </c>
      <c r="M28" s="252">
        <v>26873.03</v>
      </c>
      <c r="N28" s="252"/>
      <c r="O28" s="253">
        <f t="shared" si="0"/>
        <v>343692.89</v>
      </c>
    </row>
    <row r="29" spans="1:15">
      <c r="A29" s="251" t="s">
        <v>439</v>
      </c>
      <c r="B29" s="252">
        <v>4330.25</v>
      </c>
      <c r="C29" s="252">
        <v>4197.25</v>
      </c>
      <c r="D29" s="252">
        <v>4850.2</v>
      </c>
      <c r="E29" s="252">
        <v>6075.65</v>
      </c>
      <c r="F29" s="252">
        <v>4684.21</v>
      </c>
      <c r="G29" s="252">
        <v>5216.3999999999996</v>
      </c>
      <c r="H29" s="252">
        <v>5352.35</v>
      </c>
      <c r="I29" s="252">
        <v>6187.87</v>
      </c>
      <c r="J29" s="252">
        <v>6148.78</v>
      </c>
      <c r="K29" s="252">
        <v>5079.45</v>
      </c>
      <c r="L29" s="252">
        <v>4581.3500000000004</v>
      </c>
      <c r="M29" s="252">
        <v>4510.3999999999996</v>
      </c>
      <c r="N29" s="252"/>
      <c r="O29" s="253">
        <f t="shared" si="0"/>
        <v>61214.159999999996</v>
      </c>
    </row>
    <row r="30" spans="1:15">
      <c r="A30" s="251" t="s">
        <v>440</v>
      </c>
      <c r="B30" s="252">
        <v>3492.74</v>
      </c>
      <c r="C30" s="252">
        <v>3492.74</v>
      </c>
      <c r="D30" s="252">
        <v>3492.74</v>
      </c>
      <c r="E30" s="252">
        <v>3736.78</v>
      </c>
      <c r="F30" s="252">
        <v>6181.74</v>
      </c>
      <c r="G30" s="252">
        <v>6966.6</v>
      </c>
      <c r="H30" s="252">
        <v>6899.83</v>
      </c>
      <c r="I30" s="252">
        <v>7105.61</v>
      </c>
      <c r="J30" s="252">
        <v>6782.67</v>
      </c>
      <c r="K30" s="252">
        <v>5487.91</v>
      </c>
      <c r="L30" s="252">
        <v>4704.41</v>
      </c>
      <c r="M30" s="252">
        <v>3660.78</v>
      </c>
      <c r="N30" s="252"/>
      <c r="O30" s="253">
        <f t="shared" si="0"/>
        <v>62004.55</v>
      </c>
    </row>
    <row r="31" spans="1:15">
      <c r="A31" s="251" t="s">
        <v>441</v>
      </c>
      <c r="B31" s="252">
        <v>496.52</v>
      </c>
      <c r="C31" s="252">
        <v>496.52</v>
      </c>
      <c r="D31" s="252">
        <v>532.6</v>
      </c>
      <c r="E31" s="252">
        <v>586.72</v>
      </c>
      <c r="F31" s="252">
        <v>694.96</v>
      </c>
      <c r="G31" s="252">
        <v>622.79999999999995</v>
      </c>
      <c r="H31" s="252">
        <v>555.64</v>
      </c>
      <c r="I31" s="252">
        <v>694.96</v>
      </c>
      <c r="J31" s="252">
        <v>514.55999999999995</v>
      </c>
      <c r="K31" s="252">
        <v>532.6</v>
      </c>
      <c r="L31" s="252">
        <v>568.67999999999995</v>
      </c>
      <c r="M31" s="252">
        <v>514.55999999999995</v>
      </c>
      <c r="N31" s="252"/>
      <c r="O31" s="253">
        <f t="shared" si="0"/>
        <v>6811.119999999999</v>
      </c>
    </row>
    <row r="32" spans="1:15">
      <c r="A32" s="251" t="s">
        <v>442</v>
      </c>
      <c r="B32" s="252">
        <v>845.88</v>
      </c>
      <c r="C32" s="252">
        <v>840.28</v>
      </c>
      <c r="D32" s="252">
        <v>915.83</v>
      </c>
      <c r="E32" s="252">
        <v>993.58</v>
      </c>
      <c r="F32" s="252">
        <v>2349.48</v>
      </c>
      <c r="G32" s="252">
        <v>1221.77</v>
      </c>
      <c r="H32" s="252">
        <v>1189.33</v>
      </c>
      <c r="I32" s="252">
        <v>1374</v>
      </c>
      <c r="J32" s="252">
        <v>1275.56</v>
      </c>
      <c r="K32" s="252">
        <v>1045.05</v>
      </c>
      <c r="L32" s="252">
        <v>1068.1500000000001</v>
      </c>
      <c r="M32" s="252">
        <v>1015.9</v>
      </c>
      <c r="N32" s="252"/>
      <c r="O32" s="253">
        <f t="shared" si="0"/>
        <v>14134.809999999998</v>
      </c>
    </row>
    <row r="33" spans="1:15">
      <c r="A33" s="251" t="s">
        <v>443</v>
      </c>
      <c r="B33" s="252">
        <v>5479.53</v>
      </c>
      <c r="C33" s="252">
        <v>5479.53</v>
      </c>
      <c r="D33" s="252">
        <v>5479.53</v>
      </c>
      <c r="E33" s="252">
        <v>5519.64</v>
      </c>
      <c r="F33" s="252">
        <v>5889.25</v>
      </c>
      <c r="G33" s="252">
        <v>6144.74</v>
      </c>
      <c r="H33" s="252">
        <v>6436.77</v>
      </c>
      <c r="I33" s="252">
        <v>6364.54</v>
      </c>
      <c r="J33" s="252">
        <v>6364.54</v>
      </c>
      <c r="K33" s="252">
        <v>6418.14</v>
      </c>
      <c r="L33" s="252">
        <v>6292.49</v>
      </c>
      <c r="M33" s="252">
        <v>5928.25</v>
      </c>
      <c r="N33" s="252"/>
      <c r="O33" s="253">
        <f t="shared" si="0"/>
        <v>71796.950000000012</v>
      </c>
    </row>
    <row r="34" spans="1:15">
      <c r="A34" s="251" t="s">
        <v>444</v>
      </c>
      <c r="B34" s="252">
        <v>22307.62</v>
      </c>
      <c r="C34" s="252">
        <v>22684.93</v>
      </c>
      <c r="D34" s="252">
        <v>23127.54</v>
      </c>
      <c r="E34" s="252">
        <v>28987.8</v>
      </c>
      <c r="F34" s="252">
        <v>28905.919999999998</v>
      </c>
      <c r="G34" s="252">
        <v>29201.7</v>
      </c>
      <c r="H34" s="252">
        <v>30286.13</v>
      </c>
      <c r="I34" s="252">
        <v>30727.77</v>
      </c>
      <c r="J34" s="252">
        <v>34768.160000000003</v>
      </c>
      <c r="K34" s="252">
        <v>30953.14</v>
      </c>
      <c r="L34" s="252">
        <v>30810.79</v>
      </c>
      <c r="M34" s="252">
        <v>29326.74</v>
      </c>
      <c r="N34" s="252"/>
      <c r="O34" s="253">
        <f t="shared" si="0"/>
        <v>342088.24</v>
      </c>
    </row>
    <row r="35" spans="1:15">
      <c r="A35" s="251" t="s">
        <v>445</v>
      </c>
      <c r="B35" s="252">
        <v>2485.04</v>
      </c>
      <c r="C35" s="252">
        <v>2777.42</v>
      </c>
      <c r="D35" s="252">
        <v>2647.65</v>
      </c>
      <c r="E35" s="252">
        <v>2647.65</v>
      </c>
      <c r="F35" s="252">
        <v>2647.65</v>
      </c>
      <c r="G35" s="252">
        <v>2647.65</v>
      </c>
      <c r="H35" s="252">
        <v>2647.65</v>
      </c>
      <c r="I35" s="252">
        <v>2601.65</v>
      </c>
      <c r="J35" s="252">
        <v>2463.66</v>
      </c>
      <c r="K35" s="252">
        <v>2463.66</v>
      </c>
      <c r="L35" s="252">
        <v>2435.61</v>
      </c>
      <c r="M35" s="252">
        <v>1077.2</v>
      </c>
      <c r="N35" s="252"/>
      <c r="O35" s="253">
        <f t="shared" si="0"/>
        <v>29542.49</v>
      </c>
    </row>
    <row r="36" spans="1:15">
      <c r="A36" s="251" t="s">
        <v>446</v>
      </c>
      <c r="B36" s="252">
        <v>2847.87</v>
      </c>
      <c r="C36" s="252">
        <v>2893.14</v>
      </c>
      <c r="D36" s="252">
        <v>2825.92</v>
      </c>
      <c r="E36" s="252">
        <v>2921.97</v>
      </c>
      <c r="F36" s="252">
        <v>2920.58</v>
      </c>
      <c r="G36" s="252">
        <v>2799.87</v>
      </c>
      <c r="H36" s="252">
        <v>3024.87</v>
      </c>
      <c r="I36" s="252">
        <v>3641.09</v>
      </c>
      <c r="J36" s="252">
        <v>3134.6</v>
      </c>
      <c r="K36" s="252">
        <v>3272.61</v>
      </c>
      <c r="L36" s="252">
        <v>3076.98</v>
      </c>
      <c r="M36" s="252">
        <v>2965.86</v>
      </c>
      <c r="N36" s="252"/>
      <c r="O36" s="253">
        <f t="shared" si="0"/>
        <v>36325.360000000001</v>
      </c>
    </row>
    <row r="37" spans="1:15">
      <c r="A37" s="251" t="s">
        <v>447</v>
      </c>
      <c r="B37" s="252">
        <v>31.98</v>
      </c>
      <c r="C37" s="252">
        <v>327.60000000000002</v>
      </c>
      <c r="D37" s="252">
        <v>0</v>
      </c>
      <c r="E37" s="252">
        <v>0</v>
      </c>
      <c r="F37" s="252">
        <v>69.290000000000006</v>
      </c>
      <c r="G37" s="252">
        <v>213.18</v>
      </c>
      <c r="H37" s="252">
        <v>213.18</v>
      </c>
      <c r="I37" s="252">
        <v>213.18</v>
      </c>
      <c r="J37" s="252">
        <v>213.18</v>
      </c>
      <c r="K37" s="252">
        <v>213.18</v>
      </c>
      <c r="L37" s="252">
        <v>213.18</v>
      </c>
      <c r="M37" s="252">
        <v>214.18</v>
      </c>
      <c r="N37" s="252"/>
      <c r="O37" s="253">
        <f t="shared" si="0"/>
        <v>1922.1300000000003</v>
      </c>
    </row>
    <row r="38" spans="1:15">
      <c r="A38" s="251" t="s">
        <v>448</v>
      </c>
      <c r="B38" s="252">
        <v>697.34</v>
      </c>
      <c r="C38" s="252">
        <v>0</v>
      </c>
      <c r="D38" s="252">
        <v>607.34</v>
      </c>
      <c r="E38" s="252">
        <v>632.35</v>
      </c>
      <c r="F38" s="252">
        <v>811.34</v>
      </c>
      <c r="G38" s="252">
        <v>811.34</v>
      </c>
      <c r="H38" s="252">
        <v>811.35</v>
      </c>
      <c r="I38" s="252">
        <v>1105.58</v>
      </c>
      <c r="J38" s="252">
        <v>1053.8599999999999</v>
      </c>
      <c r="K38" s="252">
        <v>979.4</v>
      </c>
      <c r="L38" s="252">
        <v>867.74</v>
      </c>
      <c r="M38" s="252">
        <v>867.74</v>
      </c>
      <c r="N38" s="252"/>
      <c r="O38" s="253">
        <f t="shared" si="0"/>
        <v>9245.3799999999992</v>
      </c>
    </row>
    <row r="39" spans="1:15">
      <c r="A39" s="251" t="s">
        <v>449</v>
      </c>
      <c r="B39" s="252">
        <v>130857.68</v>
      </c>
      <c r="C39" s="252">
        <v>57882.06</v>
      </c>
      <c r="D39" s="252">
        <v>67592.53</v>
      </c>
      <c r="E39" s="252">
        <v>75500.240000000005</v>
      </c>
      <c r="F39" s="252">
        <v>83146.62</v>
      </c>
      <c r="G39" s="252">
        <v>80872.69</v>
      </c>
      <c r="H39" s="252">
        <v>80795.88</v>
      </c>
      <c r="I39" s="252">
        <v>76293.679999999993</v>
      </c>
      <c r="J39" s="252">
        <v>79011.820000000007</v>
      </c>
      <c r="K39" s="252">
        <v>87079.91</v>
      </c>
      <c r="L39" s="252">
        <v>93457.65</v>
      </c>
      <c r="M39" s="252">
        <v>81643.679999999993</v>
      </c>
      <c r="N39" s="252"/>
      <c r="O39" s="253">
        <f t="shared" si="0"/>
        <v>994134.44</v>
      </c>
    </row>
    <row r="40" spans="1:15">
      <c r="A40" s="251" t="s">
        <v>450</v>
      </c>
      <c r="B40" s="252">
        <v>9157.2000000000007</v>
      </c>
      <c r="C40" s="252">
        <v>7732.4</v>
      </c>
      <c r="D40" s="252">
        <v>14424.8</v>
      </c>
      <c r="E40" s="252">
        <v>7181.2</v>
      </c>
      <c r="F40" s="252">
        <v>12469.6</v>
      </c>
      <c r="G40" s="252">
        <v>10566.4</v>
      </c>
      <c r="H40" s="252">
        <v>14050.4</v>
      </c>
      <c r="I40" s="252">
        <v>10400</v>
      </c>
      <c r="J40" s="252">
        <v>13837.25</v>
      </c>
      <c r="K40" s="252">
        <v>10857.6</v>
      </c>
      <c r="L40" s="252">
        <v>8845.2000000000007</v>
      </c>
      <c r="M40" s="252">
        <v>11897.6</v>
      </c>
      <c r="N40" s="252"/>
      <c r="O40" s="253">
        <f t="shared" si="0"/>
        <v>131419.65</v>
      </c>
    </row>
    <row r="41" spans="1:15">
      <c r="A41" s="251" t="s">
        <v>451</v>
      </c>
      <c r="B41" s="252">
        <v>0</v>
      </c>
      <c r="C41" s="252">
        <v>0</v>
      </c>
      <c r="D41" s="252">
        <v>0</v>
      </c>
      <c r="E41" s="252">
        <v>0</v>
      </c>
      <c r="F41" s="252">
        <v>352.93</v>
      </c>
      <c r="G41" s="252">
        <v>0</v>
      </c>
      <c r="H41" s="252">
        <v>0</v>
      </c>
      <c r="I41" s="252">
        <v>647.58000000000004</v>
      </c>
      <c r="J41" s="252">
        <v>217.36</v>
      </c>
      <c r="K41" s="252">
        <v>1281.26</v>
      </c>
      <c r="L41" s="252">
        <v>-1851.55</v>
      </c>
      <c r="M41" s="252">
        <v>0</v>
      </c>
      <c r="N41" s="252"/>
      <c r="O41" s="253">
        <f t="shared" si="0"/>
        <v>647.58000000000015</v>
      </c>
    </row>
    <row r="42" spans="1:15">
      <c r="A42" s="251" t="s">
        <v>452</v>
      </c>
      <c r="B42" s="252">
        <v>597.71</v>
      </c>
      <c r="C42" s="252">
        <v>505.98</v>
      </c>
      <c r="D42" s="252">
        <v>414.25</v>
      </c>
      <c r="E42" s="252">
        <v>183.46</v>
      </c>
      <c r="F42" s="252">
        <v>586.33000000000004</v>
      </c>
      <c r="G42" s="252">
        <v>1055.24</v>
      </c>
      <c r="H42" s="252">
        <v>2118.58</v>
      </c>
      <c r="I42" s="252">
        <v>1508.02</v>
      </c>
      <c r="J42" s="252">
        <v>597.71</v>
      </c>
      <c r="K42" s="252">
        <v>597.71</v>
      </c>
      <c r="L42" s="252">
        <v>504.14</v>
      </c>
      <c r="M42" s="252">
        <v>781.17</v>
      </c>
      <c r="N42" s="252"/>
      <c r="O42" s="253">
        <f t="shared" si="0"/>
        <v>9450.2999999999993</v>
      </c>
    </row>
    <row r="43" spans="1:15">
      <c r="A43" s="251" t="s">
        <v>453</v>
      </c>
      <c r="B43" s="252">
        <v>16478.490000000002</v>
      </c>
      <c r="C43" s="252">
        <v>14665.92</v>
      </c>
      <c r="D43" s="252">
        <v>19109.98</v>
      </c>
      <c r="E43" s="252">
        <v>15314.46</v>
      </c>
      <c r="F43" s="252">
        <v>15709.53</v>
      </c>
      <c r="G43" s="252">
        <v>13278.87</v>
      </c>
      <c r="H43" s="252">
        <v>12808.22</v>
      </c>
      <c r="I43" s="252">
        <v>15537.5</v>
      </c>
      <c r="J43" s="252">
        <v>16723.55</v>
      </c>
      <c r="K43" s="252">
        <v>16015.25</v>
      </c>
      <c r="L43" s="252">
        <v>16994.82</v>
      </c>
      <c r="M43" s="252">
        <v>11608.47</v>
      </c>
      <c r="N43" s="252"/>
      <c r="O43" s="253">
        <f t="shared" si="0"/>
        <v>184245.06</v>
      </c>
    </row>
    <row r="44" spans="1:15">
      <c r="A44" s="251" t="s">
        <v>454</v>
      </c>
      <c r="B44" s="252">
        <v>6251.14</v>
      </c>
      <c r="C44" s="252">
        <v>5453.81</v>
      </c>
      <c r="D44" s="252">
        <v>6468.73</v>
      </c>
      <c r="E44" s="252">
        <v>9264.3700000000008</v>
      </c>
      <c r="F44" s="252">
        <v>6779.49</v>
      </c>
      <c r="G44" s="252">
        <v>6703.09</v>
      </c>
      <c r="H44" s="252">
        <v>7198.81</v>
      </c>
      <c r="I44" s="252">
        <v>6401.65</v>
      </c>
      <c r="J44" s="252">
        <v>5938.43</v>
      </c>
      <c r="K44" s="252">
        <v>5248.74</v>
      </c>
      <c r="L44" s="252">
        <v>4557.8500000000004</v>
      </c>
      <c r="M44" s="252">
        <v>4966.95</v>
      </c>
      <c r="N44" s="252"/>
      <c r="O44" s="253">
        <f t="shared" si="0"/>
        <v>75233.060000000012</v>
      </c>
    </row>
    <row r="45" spans="1:15">
      <c r="A45" s="251" t="s">
        <v>455</v>
      </c>
      <c r="B45" s="252">
        <v>21526.19</v>
      </c>
      <c r="C45" s="252">
        <v>25001.79</v>
      </c>
      <c r="D45" s="252">
        <v>28084.29</v>
      </c>
      <c r="E45" s="252">
        <v>35543.51</v>
      </c>
      <c r="F45" s="252">
        <v>30890.02</v>
      </c>
      <c r="G45" s="252">
        <v>27823.63</v>
      </c>
      <c r="H45" s="252">
        <v>25277.88</v>
      </c>
      <c r="I45" s="252">
        <v>32961.53</v>
      </c>
      <c r="J45" s="252">
        <v>28758.46</v>
      </c>
      <c r="K45" s="252">
        <v>32566.36</v>
      </c>
      <c r="L45" s="252">
        <v>29396.94</v>
      </c>
      <c r="M45" s="252">
        <v>26817.81</v>
      </c>
      <c r="N45" s="252"/>
      <c r="O45" s="253">
        <f t="shared" si="0"/>
        <v>344648.41</v>
      </c>
    </row>
    <row r="46" spans="1:15">
      <c r="A46" s="251" t="s">
        <v>456</v>
      </c>
      <c r="B46" s="252">
        <v>165</v>
      </c>
      <c r="C46" s="252">
        <v>165</v>
      </c>
      <c r="D46" s="252">
        <v>165</v>
      </c>
      <c r="E46" s="252">
        <v>1784</v>
      </c>
      <c r="F46" s="252">
        <v>470</v>
      </c>
      <c r="G46" s="252">
        <v>1014</v>
      </c>
      <c r="H46" s="252">
        <v>775</v>
      </c>
      <c r="I46" s="252">
        <v>523</v>
      </c>
      <c r="J46" s="252">
        <v>828</v>
      </c>
      <c r="K46" s="252">
        <v>526.58000000000004</v>
      </c>
      <c r="L46" s="252">
        <v>0</v>
      </c>
      <c r="M46" s="252">
        <v>165</v>
      </c>
      <c r="N46" s="252"/>
      <c r="O46" s="253">
        <f t="shared" si="0"/>
        <v>6580.58</v>
      </c>
    </row>
    <row r="47" spans="1:15">
      <c r="A47" s="251" t="s">
        <v>457</v>
      </c>
      <c r="B47" s="252">
        <v>74.36</v>
      </c>
      <c r="C47" s="252">
        <v>74.36</v>
      </c>
      <c r="D47" s="252">
        <v>233</v>
      </c>
      <c r="E47" s="252">
        <v>1442.48</v>
      </c>
      <c r="F47" s="252">
        <v>377.88</v>
      </c>
      <c r="G47" s="252">
        <v>818.03</v>
      </c>
      <c r="H47" s="252">
        <v>1240.8800000000001</v>
      </c>
      <c r="I47" s="252">
        <v>2850.57</v>
      </c>
      <c r="J47" s="252">
        <v>1065.3800000000001</v>
      </c>
      <c r="K47" s="252">
        <v>640.79999999999995</v>
      </c>
      <c r="L47" s="252">
        <v>616.34</v>
      </c>
      <c r="M47" s="252">
        <v>1085.49</v>
      </c>
      <c r="N47" s="252"/>
      <c r="O47" s="253">
        <f t="shared" si="0"/>
        <v>10519.57</v>
      </c>
    </row>
    <row r="48" spans="1:15">
      <c r="A48" s="251" t="s">
        <v>458</v>
      </c>
      <c r="B48" s="252">
        <v>0</v>
      </c>
      <c r="C48" s="252">
        <v>0</v>
      </c>
      <c r="D48" s="252">
        <v>0</v>
      </c>
      <c r="E48" s="252">
        <v>336.68</v>
      </c>
      <c r="F48" s="252">
        <v>-336.58</v>
      </c>
      <c r="G48" s="252">
        <v>0</v>
      </c>
      <c r="H48" s="252">
        <v>0</v>
      </c>
      <c r="I48" s="252">
        <v>0</v>
      </c>
      <c r="J48" s="252">
        <v>0</v>
      </c>
      <c r="K48" s="252">
        <v>0</v>
      </c>
      <c r="L48" s="252">
        <v>0</v>
      </c>
      <c r="M48" s="252">
        <v>0</v>
      </c>
      <c r="N48" s="252"/>
      <c r="O48" s="253">
        <f t="shared" si="0"/>
        <v>0.10000000000002274</v>
      </c>
    </row>
    <row r="49" spans="1:17">
      <c r="A49" s="251" t="s">
        <v>459</v>
      </c>
      <c r="B49" s="252">
        <v>0</v>
      </c>
      <c r="C49" s="252">
        <v>0</v>
      </c>
      <c r="D49" s="252">
        <v>0</v>
      </c>
      <c r="E49" s="252">
        <v>0</v>
      </c>
      <c r="F49" s="252">
        <v>357.94</v>
      </c>
      <c r="G49" s="252">
        <v>178.97</v>
      </c>
      <c r="H49" s="252">
        <v>0</v>
      </c>
      <c r="I49" s="252">
        <v>0</v>
      </c>
      <c r="J49" s="252">
        <v>0</v>
      </c>
      <c r="K49" s="252">
        <v>161.07</v>
      </c>
      <c r="L49" s="252">
        <v>374.81</v>
      </c>
      <c r="M49" s="252">
        <v>246.09</v>
      </c>
      <c r="N49" s="252"/>
      <c r="O49" s="253">
        <f t="shared" si="0"/>
        <v>1318.8799999999999</v>
      </c>
    </row>
    <row r="50" spans="1:17">
      <c r="A50" s="251" t="s">
        <v>460</v>
      </c>
      <c r="B50" s="252">
        <v>0</v>
      </c>
      <c r="C50" s="252">
        <v>1007.12</v>
      </c>
      <c r="D50" s="252">
        <v>825.84</v>
      </c>
      <c r="E50" s="252">
        <v>1188.4000000000001</v>
      </c>
      <c r="F50" s="252">
        <v>1579.27</v>
      </c>
      <c r="G50" s="252">
        <v>1188.4000000000001</v>
      </c>
      <c r="H50" s="252">
        <v>1230.6500000000001</v>
      </c>
      <c r="I50" s="252">
        <v>0</v>
      </c>
      <c r="J50" s="252">
        <v>1369.68</v>
      </c>
      <c r="K50" s="252">
        <v>825.84</v>
      </c>
      <c r="L50" s="252">
        <v>626.16</v>
      </c>
      <c r="M50" s="252">
        <v>2035.85</v>
      </c>
      <c r="N50" s="252"/>
      <c r="O50" s="253">
        <f t="shared" si="0"/>
        <v>11877.210000000001</v>
      </c>
    </row>
    <row r="51" spans="1:17">
      <c r="A51" s="251" t="s">
        <v>461</v>
      </c>
      <c r="B51" s="252">
        <v>4832.34</v>
      </c>
      <c r="C51" s="252">
        <v>5170.2299999999996</v>
      </c>
      <c r="D51" s="252">
        <v>5404.95</v>
      </c>
      <c r="E51" s="252">
        <v>4925.6099999999997</v>
      </c>
      <c r="F51" s="252">
        <v>7214.45</v>
      </c>
      <c r="G51" s="252">
        <v>6078.99</v>
      </c>
      <c r="H51" s="252">
        <v>6061.51</v>
      </c>
      <c r="I51" s="252">
        <v>6103.08</v>
      </c>
      <c r="J51" s="252">
        <v>5340.05</v>
      </c>
      <c r="K51" s="252">
        <v>9143.3700000000008</v>
      </c>
      <c r="L51" s="252">
        <v>7571.25</v>
      </c>
      <c r="M51" s="252">
        <v>8734.49</v>
      </c>
      <c r="N51" s="252"/>
      <c r="O51" s="253">
        <f t="shared" si="0"/>
        <v>76580.320000000022</v>
      </c>
    </row>
    <row r="52" spans="1:17">
      <c r="A52" s="251" t="s">
        <v>462</v>
      </c>
      <c r="B52" s="252">
        <v>0</v>
      </c>
      <c r="C52" s="252">
        <v>448.74</v>
      </c>
      <c r="D52" s="252">
        <v>0</v>
      </c>
      <c r="E52" s="252">
        <v>448.74</v>
      </c>
      <c r="F52" s="252">
        <v>1290.1300000000001</v>
      </c>
      <c r="G52" s="252">
        <v>448.74</v>
      </c>
      <c r="H52" s="252">
        <v>841.39</v>
      </c>
      <c r="I52" s="252">
        <v>3646.02</v>
      </c>
      <c r="J52" s="252">
        <v>1851.06</v>
      </c>
      <c r="K52" s="252">
        <v>1626.69</v>
      </c>
      <c r="L52" s="252">
        <v>1009.67</v>
      </c>
      <c r="M52" s="252">
        <v>0</v>
      </c>
      <c r="N52" s="252"/>
      <c r="O52" s="253">
        <f t="shared" si="0"/>
        <v>11611.18</v>
      </c>
    </row>
    <row r="53" spans="1:17">
      <c r="A53" s="251" t="s">
        <v>463</v>
      </c>
      <c r="B53" s="252">
        <v>137.19</v>
      </c>
      <c r="C53" s="252">
        <v>0</v>
      </c>
      <c r="D53" s="252">
        <v>0</v>
      </c>
      <c r="E53" s="252">
        <v>315.12</v>
      </c>
      <c r="F53" s="252">
        <v>349.95</v>
      </c>
      <c r="G53" s="252">
        <v>0</v>
      </c>
      <c r="H53" s="252">
        <v>96.04</v>
      </c>
      <c r="I53" s="252">
        <v>225.91</v>
      </c>
      <c r="J53" s="252">
        <v>99.38</v>
      </c>
      <c r="K53" s="252">
        <v>165.01</v>
      </c>
      <c r="L53" s="252">
        <v>0</v>
      </c>
      <c r="M53" s="252">
        <v>465.56</v>
      </c>
      <c r="N53" s="252"/>
      <c r="O53" s="253">
        <f t="shared" si="0"/>
        <v>1854.16</v>
      </c>
    </row>
    <row r="54" spans="1:17">
      <c r="A54" s="251" t="s">
        <v>964</v>
      </c>
      <c r="B54" s="252">
        <v>362.7</v>
      </c>
      <c r="C54" s="252">
        <v>0</v>
      </c>
      <c r="D54" s="252">
        <v>519.66999999999996</v>
      </c>
      <c r="E54" s="252">
        <v>175.5</v>
      </c>
      <c r="F54" s="252">
        <v>292.01</v>
      </c>
      <c r="G54" s="252">
        <v>0</v>
      </c>
      <c r="H54" s="252">
        <v>0</v>
      </c>
      <c r="I54" s="252">
        <v>0</v>
      </c>
      <c r="J54" s="252">
        <v>0</v>
      </c>
      <c r="K54" s="252">
        <v>0</v>
      </c>
      <c r="L54" s="252">
        <v>0</v>
      </c>
      <c r="M54" s="252">
        <v>0</v>
      </c>
      <c r="N54" s="252"/>
      <c r="O54" s="253">
        <f t="shared" si="0"/>
        <v>1349.8799999999999</v>
      </c>
    </row>
    <row r="55" spans="1:17">
      <c r="A55" s="251" t="s">
        <v>464</v>
      </c>
      <c r="B55" s="252">
        <v>0</v>
      </c>
      <c r="C55" s="252">
        <v>0</v>
      </c>
      <c r="D55" s="252">
        <v>0</v>
      </c>
      <c r="E55" s="252">
        <v>0</v>
      </c>
      <c r="F55" s="252">
        <v>337.7</v>
      </c>
      <c r="G55" s="252">
        <v>54.4</v>
      </c>
      <c r="H55" s="252">
        <v>0</v>
      </c>
      <c r="I55" s="252">
        <v>0</v>
      </c>
      <c r="J55" s="252">
        <v>0</v>
      </c>
      <c r="K55" s="252">
        <v>0</v>
      </c>
      <c r="L55" s="252">
        <v>290.39999999999998</v>
      </c>
      <c r="M55" s="252">
        <v>0</v>
      </c>
      <c r="N55" s="252"/>
      <c r="O55" s="253">
        <f t="shared" si="0"/>
        <v>682.5</v>
      </c>
    </row>
    <row r="56" spans="1:17">
      <c r="A56" s="251" t="s">
        <v>465</v>
      </c>
      <c r="B56" s="252">
        <v>0</v>
      </c>
      <c r="C56" s="252">
        <v>652.34</v>
      </c>
      <c r="D56" s="252">
        <v>0</v>
      </c>
      <c r="E56" s="252">
        <v>0</v>
      </c>
      <c r="F56" s="252">
        <v>0</v>
      </c>
      <c r="G56" s="252">
        <v>0</v>
      </c>
      <c r="H56" s="252">
        <v>0</v>
      </c>
      <c r="I56" s="252">
        <v>0</v>
      </c>
      <c r="J56" s="252">
        <v>0</v>
      </c>
      <c r="K56" s="252">
        <v>0</v>
      </c>
      <c r="L56" s="252">
        <v>0</v>
      </c>
      <c r="M56" s="252">
        <v>0</v>
      </c>
      <c r="N56" s="252"/>
      <c r="O56" s="253">
        <f t="shared" si="0"/>
        <v>652.34</v>
      </c>
      <c r="Q56" s="246" t="s">
        <v>1034</v>
      </c>
    </row>
    <row r="57" spans="1:17">
      <c r="A57" s="251" t="s">
        <v>466</v>
      </c>
      <c r="B57" s="252">
        <v>0</v>
      </c>
      <c r="C57" s="252">
        <v>40269.879999999997</v>
      </c>
      <c r="D57" s="252">
        <v>48923.43</v>
      </c>
      <c r="E57" s="252">
        <v>48677.18</v>
      </c>
      <c r="F57" s="252">
        <v>45536.22</v>
      </c>
      <c r="G57" s="252">
        <v>40813.15</v>
      </c>
      <c r="H57" s="252">
        <v>42740.88</v>
      </c>
      <c r="I57" s="252">
        <v>52693.69</v>
      </c>
      <c r="J57" s="252">
        <v>48031.85</v>
      </c>
      <c r="K57" s="252">
        <v>55555.39</v>
      </c>
      <c r="L57" s="252">
        <v>75084</v>
      </c>
      <c r="M57" s="252">
        <v>58993.14</v>
      </c>
      <c r="N57" s="252"/>
      <c r="O57" s="253">
        <f t="shared" si="0"/>
        <v>557318.80999999994</v>
      </c>
      <c r="Q57" s="601">
        <v>71195.759999999995</v>
      </c>
    </row>
    <row r="58" spans="1:17">
      <c r="A58" s="251" t="s">
        <v>467</v>
      </c>
      <c r="B58" s="252">
        <v>0</v>
      </c>
      <c r="C58" s="252">
        <v>0</v>
      </c>
      <c r="D58" s="252">
        <v>0</v>
      </c>
      <c r="E58" s="252">
        <v>0</v>
      </c>
      <c r="F58" s="252">
        <v>514.29999999999995</v>
      </c>
      <c r="G58" s="252">
        <v>0</v>
      </c>
      <c r="H58" s="252">
        <v>54.34</v>
      </c>
      <c r="I58" s="252">
        <v>117.14</v>
      </c>
      <c r="J58" s="252">
        <v>0</v>
      </c>
      <c r="K58" s="252">
        <v>358.58</v>
      </c>
      <c r="L58" s="252">
        <v>0</v>
      </c>
      <c r="M58" s="252">
        <v>0</v>
      </c>
      <c r="N58" s="252"/>
      <c r="O58" s="253">
        <f t="shared" si="0"/>
        <v>1044.3599999999999</v>
      </c>
    </row>
    <row r="59" spans="1:17">
      <c r="A59" s="251" t="s">
        <v>468</v>
      </c>
      <c r="B59" s="252">
        <v>90.95</v>
      </c>
      <c r="C59" s="252">
        <v>220</v>
      </c>
      <c r="D59" s="252">
        <v>85.24</v>
      </c>
      <c r="E59" s="252">
        <v>0</v>
      </c>
      <c r="F59" s="252">
        <v>74.760000000000005</v>
      </c>
      <c r="G59" s="252">
        <v>120.96</v>
      </c>
      <c r="H59" s="252">
        <v>511.45</v>
      </c>
      <c r="I59" s="252">
        <v>350</v>
      </c>
      <c r="J59" s="252">
        <v>95.24</v>
      </c>
      <c r="K59" s="252">
        <v>64.760000000000005</v>
      </c>
      <c r="L59" s="252">
        <v>0</v>
      </c>
      <c r="M59" s="252">
        <v>237.62</v>
      </c>
      <c r="N59" s="252"/>
      <c r="O59" s="253">
        <f t="shared" si="0"/>
        <v>1850.98</v>
      </c>
    </row>
    <row r="60" spans="1:17">
      <c r="A60" s="251" t="s">
        <v>469</v>
      </c>
      <c r="B60" s="252">
        <v>10821.65</v>
      </c>
      <c r="C60" s="252">
        <v>7127.76</v>
      </c>
      <c r="D60" s="252">
        <v>12513.12</v>
      </c>
      <c r="E60" s="252">
        <v>6988.2</v>
      </c>
      <c r="F60" s="252">
        <v>8828.2999999999993</v>
      </c>
      <c r="G60" s="252">
        <v>7763.97</v>
      </c>
      <c r="H60" s="252">
        <v>7438.73</v>
      </c>
      <c r="I60" s="252">
        <v>7016.36</v>
      </c>
      <c r="J60" s="252">
        <v>9032.11</v>
      </c>
      <c r="K60" s="252">
        <v>9467.35</v>
      </c>
      <c r="L60" s="252">
        <v>7058.25</v>
      </c>
      <c r="M60" s="252">
        <v>5164.3900000000003</v>
      </c>
      <c r="N60" s="252"/>
      <c r="O60" s="253">
        <f t="shared" si="0"/>
        <v>99220.19</v>
      </c>
    </row>
    <row r="61" spans="1:17">
      <c r="A61" s="251" t="s">
        <v>470</v>
      </c>
      <c r="B61" s="252">
        <v>62266.93</v>
      </c>
      <c r="C61" s="252">
        <v>60712.93</v>
      </c>
      <c r="D61" s="252">
        <v>77088.710000000006</v>
      </c>
      <c r="E61" s="252">
        <v>88948.58</v>
      </c>
      <c r="F61" s="252">
        <v>91869.23</v>
      </c>
      <c r="G61" s="252">
        <v>89567.09</v>
      </c>
      <c r="H61" s="252">
        <v>83413.78</v>
      </c>
      <c r="I61" s="252">
        <v>77539.039999999994</v>
      </c>
      <c r="J61" s="252">
        <v>83437.16</v>
      </c>
      <c r="K61" s="252">
        <v>76081.31</v>
      </c>
      <c r="L61" s="252">
        <v>78453.94</v>
      </c>
      <c r="M61" s="252">
        <v>67248.679999999993</v>
      </c>
      <c r="N61" s="252"/>
      <c r="O61" s="253">
        <f t="shared" si="0"/>
        <v>936627.37999999989</v>
      </c>
    </row>
    <row r="62" spans="1:17">
      <c r="A62" s="251" t="s">
        <v>471</v>
      </c>
      <c r="B62" s="252">
        <v>0</v>
      </c>
      <c r="C62" s="252">
        <v>0</v>
      </c>
      <c r="D62" s="252">
        <v>0</v>
      </c>
      <c r="E62" s="252">
        <v>1332.83</v>
      </c>
      <c r="F62" s="252">
        <v>293.39999999999998</v>
      </c>
      <c r="G62" s="252">
        <v>560</v>
      </c>
      <c r="H62" s="252">
        <v>258.39999999999998</v>
      </c>
      <c r="I62" s="252">
        <v>162.4</v>
      </c>
      <c r="J62" s="252">
        <v>211.2</v>
      </c>
      <c r="K62" s="252">
        <v>141.52000000000001</v>
      </c>
      <c r="L62" s="252">
        <v>165</v>
      </c>
      <c r="M62" s="252">
        <v>0</v>
      </c>
      <c r="N62" s="252"/>
      <c r="O62" s="253">
        <f t="shared" si="0"/>
        <v>3124.75</v>
      </c>
    </row>
    <row r="63" spans="1:17">
      <c r="A63" s="251" t="s">
        <v>472</v>
      </c>
      <c r="B63" s="252">
        <v>696.72</v>
      </c>
      <c r="C63" s="252">
        <v>638.55999999999995</v>
      </c>
      <c r="D63" s="252">
        <v>648.07000000000005</v>
      </c>
      <c r="E63" s="252">
        <v>1735.67</v>
      </c>
      <c r="F63" s="252">
        <v>1356.66</v>
      </c>
      <c r="G63" s="252">
        <v>702.08</v>
      </c>
      <c r="H63" s="252">
        <v>1793.15</v>
      </c>
      <c r="I63" s="252">
        <v>3913.61</v>
      </c>
      <c r="J63" s="252">
        <v>1622.94</v>
      </c>
      <c r="K63" s="252">
        <v>763.93</v>
      </c>
      <c r="L63" s="252">
        <v>1436.72</v>
      </c>
      <c r="M63" s="252">
        <v>875.61</v>
      </c>
      <c r="N63" s="252"/>
      <c r="O63" s="253">
        <f t="shared" si="0"/>
        <v>16183.720000000001</v>
      </c>
    </row>
    <row r="64" spans="1:17">
      <c r="A64" s="251" t="s">
        <v>473</v>
      </c>
      <c r="B64" s="252">
        <v>191.81</v>
      </c>
      <c r="C64" s="252">
        <v>141.57</v>
      </c>
      <c r="D64" s="252">
        <v>217.82</v>
      </c>
      <c r="E64" s="252">
        <v>356.96</v>
      </c>
      <c r="F64" s="252">
        <v>30.53</v>
      </c>
      <c r="G64" s="252">
        <v>139.5</v>
      </c>
      <c r="H64" s="252">
        <v>139.63999999999999</v>
      </c>
      <c r="I64" s="252">
        <v>234.73</v>
      </c>
      <c r="J64" s="252">
        <v>209.97</v>
      </c>
      <c r="K64" s="252">
        <v>110.95</v>
      </c>
      <c r="L64" s="252">
        <v>164.73</v>
      </c>
      <c r="M64" s="252">
        <v>104.05</v>
      </c>
      <c r="N64" s="252"/>
      <c r="O64" s="253">
        <f t="shared" si="0"/>
        <v>2042.26</v>
      </c>
    </row>
    <row r="65" spans="1:15">
      <c r="A65" s="251" t="s">
        <v>474</v>
      </c>
      <c r="B65" s="252">
        <v>1972.23</v>
      </c>
      <c r="C65" s="252">
        <v>571.91</v>
      </c>
      <c r="D65" s="252">
        <v>485.72</v>
      </c>
      <c r="E65" s="252">
        <v>796.2</v>
      </c>
      <c r="F65" s="252">
        <v>743.82</v>
      </c>
      <c r="G65" s="252">
        <v>652.41</v>
      </c>
      <c r="H65" s="252">
        <v>637.64</v>
      </c>
      <c r="I65" s="252">
        <v>2023.17</v>
      </c>
      <c r="J65" s="252">
        <v>919.07</v>
      </c>
      <c r="K65" s="252">
        <v>600.49</v>
      </c>
      <c r="L65" s="252">
        <v>1110.02</v>
      </c>
      <c r="M65" s="252">
        <v>1150.5</v>
      </c>
      <c r="N65" s="252"/>
      <c r="O65" s="253">
        <f t="shared" si="0"/>
        <v>11663.18</v>
      </c>
    </row>
    <row r="66" spans="1:15">
      <c r="A66" s="251" t="s">
        <v>475</v>
      </c>
      <c r="B66" s="252">
        <v>7367.2</v>
      </c>
      <c r="C66" s="252">
        <v>6139.2</v>
      </c>
      <c r="D66" s="252">
        <v>9203.2000000000007</v>
      </c>
      <c r="E66" s="252">
        <v>5372</v>
      </c>
      <c r="F66" s="252">
        <v>9582.4</v>
      </c>
      <c r="G66" s="252">
        <v>5710.4</v>
      </c>
      <c r="H66" s="252">
        <v>5416.8</v>
      </c>
      <c r="I66" s="252">
        <v>6401.6</v>
      </c>
      <c r="J66" s="252">
        <v>4984.8</v>
      </c>
      <c r="K66" s="252">
        <v>15812</v>
      </c>
      <c r="L66" s="252">
        <v>13628.8</v>
      </c>
      <c r="M66" s="252">
        <v>16984</v>
      </c>
      <c r="N66" s="252"/>
      <c r="O66" s="253">
        <f t="shared" si="0"/>
        <v>106602.40000000001</v>
      </c>
    </row>
    <row r="67" spans="1:15">
      <c r="A67" s="251" t="s">
        <v>965</v>
      </c>
      <c r="B67" s="252">
        <v>0</v>
      </c>
      <c r="C67" s="252">
        <v>0</v>
      </c>
      <c r="D67" s="252">
        <v>452.8</v>
      </c>
      <c r="E67" s="252">
        <v>0</v>
      </c>
      <c r="F67" s="252">
        <v>296</v>
      </c>
      <c r="G67" s="252">
        <v>0</v>
      </c>
      <c r="H67" s="252">
        <v>0</v>
      </c>
      <c r="I67" s="252">
        <v>0</v>
      </c>
      <c r="J67" s="252">
        <v>0</v>
      </c>
      <c r="K67" s="252">
        <v>0</v>
      </c>
      <c r="L67" s="252">
        <v>0</v>
      </c>
      <c r="M67" s="252">
        <v>0</v>
      </c>
      <c r="N67" s="252"/>
      <c r="O67" s="253">
        <f t="shared" si="0"/>
        <v>748.8</v>
      </c>
    </row>
    <row r="68" spans="1:15">
      <c r="A68" s="251" t="s">
        <v>476</v>
      </c>
      <c r="B68" s="252">
        <v>20952.509999999998</v>
      </c>
      <c r="C68" s="252">
        <v>19749.13</v>
      </c>
      <c r="D68" s="252">
        <v>29063.49</v>
      </c>
      <c r="E68" s="252">
        <v>42658.21</v>
      </c>
      <c r="F68" s="252">
        <v>42900.13</v>
      </c>
      <c r="G68" s="252">
        <v>43514.400000000001</v>
      </c>
      <c r="H68" s="252">
        <v>40687.160000000003</v>
      </c>
      <c r="I68" s="252">
        <v>37640.76</v>
      </c>
      <c r="J68" s="252">
        <v>38378.550000000003</v>
      </c>
      <c r="K68" s="252">
        <v>33190.730000000003</v>
      </c>
      <c r="L68" s="252">
        <v>33297.86</v>
      </c>
      <c r="M68" s="252">
        <v>73716.08</v>
      </c>
      <c r="N68" s="252"/>
      <c r="O68" s="253">
        <f>SUM(B68:M68)</f>
        <v>455749.00999999995</v>
      </c>
    </row>
    <row r="69" spans="1:15">
      <c r="A69" s="251" t="s">
        <v>477</v>
      </c>
      <c r="B69" s="252">
        <v>662.4</v>
      </c>
      <c r="C69" s="252">
        <v>0</v>
      </c>
      <c r="D69" s="252">
        <v>220.8</v>
      </c>
      <c r="E69" s="252">
        <v>366.2</v>
      </c>
      <c r="F69" s="252">
        <v>145.6</v>
      </c>
      <c r="G69" s="252">
        <v>0</v>
      </c>
      <c r="H69" s="252">
        <v>0</v>
      </c>
      <c r="I69" s="252">
        <v>0</v>
      </c>
      <c r="J69" s="252">
        <v>0</v>
      </c>
      <c r="K69" s="252">
        <v>0</v>
      </c>
      <c r="L69" s="252">
        <v>404</v>
      </c>
      <c r="M69" s="252">
        <v>0</v>
      </c>
      <c r="N69" s="252"/>
      <c r="O69" s="253">
        <f t="shared" si="0"/>
        <v>1799</v>
      </c>
    </row>
    <row r="70" spans="1:15">
      <c r="A70" s="251" t="s">
        <v>478</v>
      </c>
      <c r="B70" s="252">
        <v>12116.64</v>
      </c>
      <c r="C70" s="252">
        <v>12182.84</v>
      </c>
      <c r="D70" s="252">
        <v>16265.16</v>
      </c>
      <c r="E70" s="252">
        <v>16380.8</v>
      </c>
      <c r="F70" s="252">
        <v>16495.2</v>
      </c>
      <c r="G70" s="252">
        <v>16606.400000000001</v>
      </c>
      <c r="H70" s="252">
        <v>16664.419999999998</v>
      </c>
      <c r="I70" s="252">
        <v>16686.87</v>
      </c>
      <c r="J70" s="252">
        <v>16708.400000000001</v>
      </c>
      <c r="K70" s="252">
        <v>16708.64</v>
      </c>
      <c r="L70" s="252">
        <v>16608.599999999999</v>
      </c>
      <c r="M70" s="252">
        <v>12377</v>
      </c>
      <c r="N70" s="252"/>
      <c r="O70" s="253">
        <f t="shared" ref="O70:O79" si="1">SUM(B70:M70)</f>
        <v>185800.97</v>
      </c>
    </row>
    <row r="71" spans="1:15">
      <c r="A71" s="251" t="s">
        <v>479</v>
      </c>
      <c r="B71" s="252">
        <v>0</v>
      </c>
      <c r="C71" s="252">
        <v>0</v>
      </c>
      <c r="D71" s="252">
        <v>0</v>
      </c>
      <c r="E71" s="252">
        <v>2430</v>
      </c>
      <c r="F71" s="252">
        <v>3402</v>
      </c>
      <c r="G71" s="252">
        <v>2430</v>
      </c>
      <c r="H71" s="252">
        <v>2430</v>
      </c>
      <c r="I71" s="252">
        <v>2430</v>
      </c>
      <c r="J71" s="252">
        <v>2430</v>
      </c>
      <c r="K71" s="252">
        <v>2055</v>
      </c>
      <c r="L71" s="252">
        <v>0</v>
      </c>
      <c r="M71" s="252">
        <v>0</v>
      </c>
      <c r="N71" s="252"/>
      <c r="O71" s="253">
        <f t="shared" si="1"/>
        <v>17607</v>
      </c>
    </row>
    <row r="72" spans="1:15">
      <c r="A72" s="251" t="s">
        <v>480</v>
      </c>
      <c r="B72" s="252">
        <v>113947.25</v>
      </c>
      <c r="C72" s="252">
        <v>36039.050000000003</v>
      </c>
      <c r="D72" s="252">
        <v>44007.48</v>
      </c>
      <c r="E72" s="252">
        <v>41496.81</v>
      </c>
      <c r="F72" s="252">
        <v>46885.84</v>
      </c>
      <c r="G72" s="252">
        <v>43971.73</v>
      </c>
      <c r="H72" s="252">
        <v>44922.26</v>
      </c>
      <c r="I72" s="252">
        <v>48085.52</v>
      </c>
      <c r="J72" s="252">
        <v>91330.91</v>
      </c>
      <c r="K72" s="252">
        <v>36997.46</v>
      </c>
      <c r="L72" s="252">
        <v>42927.17</v>
      </c>
      <c r="M72" s="252">
        <v>32565.93</v>
      </c>
      <c r="N72" s="252"/>
      <c r="O72" s="253">
        <f t="shared" si="1"/>
        <v>623177.41</v>
      </c>
    </row>
    <row r="73" spans="1:15">
      <c r="A73" s="251" t="s">
        <v>481</v>
      </c>
      <c r="B73" s="252">
        <v>0</v>
      </c>
      <c r="C73" s="252">
        <v>0</v>
      </c>
      <c r="D73" s="252">
        <v>0</v>
      </c>
      <c r="E73" s="252">
        <v>0</v>
      </c>
      <c r="F73" s="252">
        <v>0</v>
      </c>
      <c r="G73" s="252">
        <v>0</v>
      </c>
      <c r="H73" s="252">
        <v>108.62</v>
      </c>
      <c r="I73" s="252">
        <v>0</v>
      </c>
      <c r="J73" s="252">
        <v>0</v>
      </c>
      <c r="K73" s="252">
        <v>0</v>
      </c>
      <c r="L73" s="252">
        <v>0</v>
      </c>
      <c r="M73" s="252">
        <v>0</v>
      </c>
      <c r="N73" s="252"/>
      <c r="O73" s="253">
        <f t="shared" si="1"/>
        <v>108.62</v>
      </c>
    </row>
    <row r="74" spans="1:15">
      <c r="A74" s="251" t="s">
        <v>482</v>
      </c>
      <c r="B74" s="252">
        <v>2980.05</v>
      </c>
      <c r="C74" s="252">
        <v>457</v>
      </c>
      <c r="D74" s="252">
        <v>3172.9</v>
      </c>
      <c r="E74" s="252">
        <v>1470.5</v>
      </c>
      <c r="F74" s="252">
        <v>2371.85</v>
      </c>
      <c r="G74" s="252">
        <v>1109.5</v>
      </c>
      <c r="H74" s="252">
        <v>1278.3</v>
      </c>
      <c r="I74" s="252">
        <v>1032.26</v>
      </c>
      <c r="J74" s="252">
        <v>3135.35</v>
      </c>
      <c r="K74" s="252">
        <v>623</v>
      </c>
      <c r="L74" s="252">
        <v>2589.1999999999998</v>
      </c>
      <c r="M74" s="252">
        <v>1765.35</v>
      </c>
      <c r="N74" s="252"/>
      <c r="O74" s="253">
        <f t="shared" si="1"/>
        <v>21985.26</v>
      </c>
    </row>
    <row r="75" spans="1:15">
      <c r="A75" s="251" t="s">
        <v>483</v>
      </c>
      <c r="B75" s="252">
        <v>797.85</v>
      </c>
      <c r="C75" s="252">
        <v>729.96</v>
      </c>
      <c r="D75" s="252">
        <v>1523.79</v>
      </c>
      <c r="E75" s="252">
        <v>775.96</v>
      </c>
      <c r="F75" s="252">
        <v>874.6</v>
      </c>
      <c r="G75" s="252">
        <v>1042.28</v>
      </c>
      <c r="H75" s="252">
        <v>1083.8599999999999</v>
      </c>
      <c r="I75" s="252">
        <v>765.17</v>
      </c>
      <c r="J75" s="252">
        <v>1032.48</v>
      </c>
      <c r="K75" s="252">
        <v>784.66</v>
      </c>
      <c r="L75" s="252">
        <v>989.78</v>
      </c>
      <c r="M75" s="252">
        <v>869.41</v>
      </c>
      <c r="N75" s="252"/>
      <c r="O75" s="253">
        <f t="shared" si="1"/>
        <v>11269.8</v>
      </c>
    </row>
    <row r="76" spans="1:15">
      <c r="A76" s="251" t="s">
        <v>484</v>
      </c>
      <c r="B76" s="252">
        <v>59.73</v>
      </c>
      <c r="C76" s="252">
        <v>88.82</v>
      </c>
      <c r="D76" s="252">
        <v>67.430000000000007</v>
      </c>
      <c r="E76" s="252">
        <v>73.75</v>
      </c>
      <c r="F76" s="252">
        <v>98.45</v>
      </c>
      <c r="G76" s="252">
        <v>82.59</v>
      </c>
      <c r="H76" s="252">
        <v>136.97999999999999</v>
      </c>
      <c r="I76" s="252">
        <v>134.51</v>
      </c>
      <c r="J76" s="252">
        <v>111.67</v>
      </c>
      <c r="K76" s="252">
        <v>73.459999999999994</v>
      </c>
      <c r="L76" s="252">
        <v>125.76</v>
      </c>
      <c r="M76" s="252">
        <v>76.7</v>
      </c>
      <c r="N76" s="252"/>
      <c r="O76" s="253">
        <f t="shared" si="1"/>
        <v>1129.8500000000001</v>
      </c>
    </row>
    <row r="77" spans="1:15">
      <c r="A77" s="251" t="s">
        <v>485</v>
      </c>
      <c r="B77" s="252">
        <v>1</v>
      </c>
      <c r="C77" s="252">
        <v>10.029999999999999</v>
      </c>
      <c r="D77" s="252">
        <v>5.5</v>
      </c>
      <c r="E77" s="252">
        <v>3</v>
      </c>
      <c r="F77" s="252">
        <v>-7.59</v>
      </c>
      <c r="G77" s="252">
        <v>3.13</v>
      </c>
      <c r="H77" s="252">
        <v>1</v>
      </c>
      <c r="I77" s="252">
        <v>0</v>
      </c>
      <c r="J77" s="252">
        <v>0</v>
      </c>
      <c r="K77" s="252">
        <v>1</v>
      </c>
      <c r="L77" s="252">
        <v>2.81</v>
      </c>
      <c r="M77" s="252">
        <v>2.81</v>
      </c>
      <c r="N77" s="252"/>
      <c r="O77" s="253">
        <f>SUM(B77:M77)</f>
        <v>22.689999999999998</v>
      </c>
    </row>
    <row r="78" spans="1:15">
      <c r="A78" s="251" t="s">
        <v>486</v>
      </c>
      <c r="B78" s="252">
        <v>121.86</v>
      </c>
      <c r="C78" s="252">
        <v>138.22999999999999</v>
      </c>
      <c r="D78" s="252">
        <v>95.52</v>
      </c>
      <c r="E78" s="252">
        <v>131.96</v>
      </c>
      <c r="F78" s="252">
        <v>130.58000000000001</v>
      </c>
      <c r="G78" s="252">
        <v>243.08</v>
      </c>
      <c r="H78" s="252">
        <v>185.3</v>
      </c>
      <c r="I78" s="252">
        <v>165.59</v>
      </c>
      <c r="J78" s="252">
        <v>165.59</v>
      </c>
      <c r="K78" s="252">
        <v>136.56</v>
      </c>
      <c r="L78" s="252">
        <v>210.52</v>
      </c>
      <c r="M78" s="252">
        <v>225.94</v>
      </c>
      <c r="N78" s="252"/>
      <c r="O78" s="253">
        <f t="shared" si="1"/>
        <v>1950.7299999999998</v>
      </c>
    </row>
    <row r="79" spans="1:15">
      <c r="A79" s="251" t="s">
        <v>972</v>
      </c>
      <c r="B79" s="252">
        <v>0</v>
      </c>
      <c r="C79" s="252">
        <v>0</v>
      </c>
      <c r="D79" s="252">
        <v>0</v>
      </c>
      <c r="E79" s="252">
        <v>0</v>
      </c>
      <c r="F79" s="252">
        <v>0</v>
      </c>
      <c r="G79" s="252">
        <v>0</v>
      </c>
      <c r="H79" s="252">
        <v>0</v>
      </c>
      <c r="I79" s="252">
        <v>0</v>
      </c>
      <c r="J79" s="252">
        <v>0</v>
      </c>
      <c r="K79" s="252">
        <v>0</v>
      </c>
      <c r="L79" s="252">
        <v>0</v>
      </c>
      <c r="M79" s="252">
        <v>175</v>
      </c>
      <c r="N79" s="252"/>
      <c r="O79" s="253">
        <f t="shared" si="1"/>
        <v>175</v>
      </c>
    </row>
    <row r="80" spans="1:15">
      <c r="A80" s="250"/>
      <c r="B80" s="252"/>
      <c r="C80" s="252"/>
      <c r="D80" s="252"/>
      <c r="E80" s="252"/>
      <c r="F80" s="252"/>
      <c r="G80" s="252"/>
      <c r="H80" s="252"/>
      <c r="I80" s="252"/>
      <c r="J80" s="252"/>
      <c r="K80" s="252"/>
      <c r="L80" s="252"/>
      <c r="M80" s="252"/>
      <c r="O80" s="253"/>
    </row>
    <row r="81" spans="1:17">
      <c r="A81" s="250" t="s">
        <v>261</v>
      </c>
      <c r="B81" s="254">
        <f>SUM(B5:B79)</f>
        <v>1031814.1</v>
      </c>
      <c r="C81" s="254">
        <f t="shared" ref="C81:M81" si="2">SUM(C5:C79)</f>
        <v>926770.00000000023</v>
      </c>
      <c r="D81" s="254">
        <f t="shared" si="2"/>
        <v>1010348.4500000002</v>
      </c>
      <c r="E81" s="254">
        <f t="shared" si="2"/>
        <v>1168437.5599999998</v>
      </c>
      <c r="F81" s="254">
        <f t="shared" si="2"/>
        <v>1180073.1299999999</v>
      </c>
      <c r="G81" s="254">
        <f t="shared" si="2"/>
        <v>1165977.3799999997</v>
      </c>
      <c r="H81" s="254">
        <f t="shared" si="2"/>
        <v>1166228.7099999997</v>
      </c>
      <c r="I81" s="254">
        <f t="shared" si="2"/>
        <v>1190139.4200000002</v>
      </c>
      <c r="J81" s="254">
        <f t="shared" si="2"/>
        <v>1222339.3700000003</v>
      </c>
      <c r="K81" s="254">
        <f t="shared" si="2"/>
        <v>1177516.3499999996</v>
      </c>
      <c r="L81" s="254">
        <f t="shared" si="2"/>
        <v>1175197.7200000004</v>
      </c>
      <c r="M81" s="254">
        <f t="shared" si="2"/>
        <v>1144126.74</v>
      </c>
      <c r="O81" s="254">
        <f>SUM(O5:O79)</f>
        <v>13558968.930000005</v>
      </c>
      <c r="P81" s="246" t="s">
        <v>748</v>
      </c>
    </row>
    <row r="82" spans="1:17">
      <c r="A82" s="250"/>
      <c r="B82" s="252"/>
      <c r="C82" s="252"/>
      <c r="D82" s="252"/>
      <c r="E82" s="252"/>
      <c r="F82" s="252"/>
      <c r="G82" s="252"/>
      <c r="H82" s="252"/>
      <c r="I82" s="252"/>
      <c r="J82" s="252"/>
      <c r="K82" s="252"/>
      <c r="L82" s="252"/>
      <c r="M82" s="252"/>
      <c r="O82" s="253"/>
    </row>
    <row r="83" spans="1:17">
      <c r="A83" s="645" t="s">
        <v>370</v>
      </c>
      <c r="B83" s="252"/>
      <c r="C83" s="252"/>
      <c r="D83" s="252"/>
      <c r="E83" s="252"/>
      <c r="F83" s="252"/>
      <c r="G83" s="252"/>
      <c r="H83" s="252"/>
      <c r="I83" s="252"/>
      <c r="J83" s="252"/>
      <c r="K83" s="252"/>
      <c r="L83" s="252"/>
      <c r="M83" s="252"/>
      <c r="O83" s="253"/>
      <c r="P83" s="646" t="s">
        <v>375</v>
      </c>
      <c r="Q83" s="246" t="s">
        <v>487</v>
      </c>
    </row>
    <row r="84" spans="1:17">
      <c r="A84" s="250" t="s">
        <v>358</v>
      </c>
      <c r="B84" s="252"/>
      <c r="C84" s="252"/>
      <c r="D84" s="252"/>
      <c r="E84" s="252"/>
      <c r="F84" s="252"/>
      <c r="G84" s="252"/>
      <c r="H84" s="252"/>
      <c r="I84" s="252"/>
      <c r="J84" s="252"/>
      <c r="K84" s="252"/>
      <c r="L84" s="252"/>
      <c r="M84" s="252"/>
      <c r="O84" s="253"/>
      <c r="P84" s="706">
        <v>3945816</v>
      </c>
    </row>
    <row r="85" spans="1:17">
      <c r="A85" s="250" t="s">
        <v>361</v>
      </c>
      <c r="B85" s="252"/>
      <c r="C85" s="252"/>
      <c r="D85" s="252"/>
      <c r="E85" s="252"/>
      <c r="F85" s="252"/>
      <c r="G85" s="252"/>
      <c r="H85" s="252"/>
      <c r="I85" s="252"/>
      <c r="J85" s="252"/>
      <c r="K85" s="252"/>
      <c r="L85" s="252"/>
      <c r="M85" s="252"/>
      <c r="O85" s="253"/>
      <c r="P85" s="706">
        <v>3153336</v>
      </c>
    </row>
    <row r="86" spans="1:17">
      <c r="A86" s="250" t="s">
        <v>359</v>
      </c>
      <c r="B86" s="252"/>
      <c r="C86" s="252"/>
      <c r="D86" s="252"/>
      <c r="E86" s="252"/>
      <c r="F86" s="252"/>
      <c r="G86" s="252"/>
      <c r="H86" s="252"/>
      <c r="I86" s="252"/>
      <c r="J86" s="252"/>
      <c r="K86" s="252"/>
      <c r="L86" s="252"/>
      <c r="M86" s="252"/>
      <c r="O86" s="253"/>
      <c r="P86" s="706">
        <v>1420090</v>
      </c>
    </row>
    <row r="87" spans="1:17">
      <c r="A87" s="250" t="s">
        <v>362</v>
      </c>
      <c r="B87" s="252"/>
      <c r="C87" s="252"/>
      <c r="D87" s="252"/>
      <c r="E87" s="252"/>
      <c r="F87" s="252"/>
      <c r="G87" s="252"/>
      <c r="H87" s="252"/>
      <c r="I87" s="252"/>
      <c r="J87" s="252"/>
      <c r="K87" s="252"/>
      <c r="L87" s="252"/>
      <c r="M87" s="252"/>
      <c r="O87" s="253"/>
      <c r="P87" s="706">
        <v>1641205</v>
      </c>
    </row>
    <row r="88" spans="1:17">
      <c r="A88" s="250" t="s">
        <v>371</v>
      </c>
      <c r="B88" s="252"/>
      <c r="C88" s="252"/>
      <c r="D88" s="252"/>
      <c r="E88" s="252"/>
      <c r="F88" s="252"/>
      <c r="G88" s="252"/>
      <c r="H88" s="252"/>
      <c r="I88" s="252"/>
      <c r="J88" s="252"/>
      <c r="K88" s="252"/>
      <c r="L88" s="252"/>
      <c r="M88" s="252"/>
      <c r="O88" s="253"/>
      <c r="P88" s="706">
        <v>430247</v>
      </c>
    </row>
    <row r="89" spans="1:17">
      <c r="A89" s="250" t="s">
        <v>363</v>
      </c>
      <c r="B89" s="252"/>
      <c r="C89" s="252"/>
      <c r="D89" s="252"/>
      <c r="E89" s="252"/>
      <c r="F89" s="252"/>
      <c r="G89" s="252"/>
      <c r="H89" s="252"/>
      <c r="I89" s="252"/>
      <c r="J89" s="252"/>
      <c r="K89" s="252"/>
      <c r="L89" s="252"/>
      <c r="M89" s="252"/>
      <c r="O89" s="253"/>
      <c r="P89" s="706">
        <v>697809</v>
      </c>
    </row>
    <row r="90" spans="1:17">
      <c r="A90" s="250" t="s">
        <v>364</v>
      </c>
      <c r="B90" s="252"/>
      <c r="C90" s="252"/>
      <c r="D90" s="252"/>
      <c r="E90" s="252"/>
      <c r="F90" s="252"/>
      <c r="G90" s="252"/>
      <c r="H90" s="252"/>
      <c r="I90" s="252"/>
      <c r="J90" s="252"/>
      <c r="K90" s="252"/>
      <c r="L90" s="252"/>
      <c r="M90" s="252"/>
      <c r="O90" s="253"/>
      <c r="P90" s="706">
        <v>0</v>
      </c>
    </row>
    <row r="91" spans="1:17">
      <c r="A91" s="250" t="s">
        <v>373</v>
      </c>
      <c r="B91" s="252"/>
      <c r="C91" s="252"/>
      <c r="D91" s="252"/>
      <c r="E91" s="252"/>
      <c r="F91" s="252"/>
      <c r="G91" s="252"/>
      <c r="H91" s="252"/>
      <c r="I91" s="252"/>
      <c r="J91" s="252"/>
      <c r="K91" s="252"/>
      <c r="L91" s="252"/>
      <c r="M91" s="252"/>
      <c r="O91" s="253"/>
      <c r="P91" s="706">
        <v>0</v>
      </c>
    </row>
    <row r="92" spans="1:17">
      <c r="A92" s="250" t="s">
        <v>374</v>
      </c>
      <c r="B92" s="252"/>
      <c r="C92" s="252"/>
      <c r="D92" s="252"/>
      <c r="E92" s="252"/>
      <c r="F92" s="252"/>
      <c r="G92" s="252"/>
      <c r="H92" s="252"/>
      <c r="I92" s="252"/>
      <c r="J92" s="252"/>
      <c r="K92" s="252"/>
      <c r="L92" s="252"/>
      <c r="M92" s="252"/>
      <c r="O92" s="253"/>
      <c r="P92" s="706">
        <v>0</v>
      </c>
    </row>
    <row r="93" spans="1:17">
      <c r="A93" s="250" t="s">
        <v>365</v>
      </c>
      <c r="B93" s="252"/>
      <c r="C93" s="252"/>
      <c r="D93" s="252"/>
      <c r="E93" s="252"/>
      <c r="F93" s="252"/>
      <c r="G93" s="252"/>
      <c r="H93" s="252"/>
      <c r="I93" s="252"/>
      <c r="J93" s="252"/>
      <c r="K93" s="252"/>
      <c r="L93" s="252"/>
      <c r="M93" s="252"/>
      <c r="O93" s="253"/>
      <c r="P93" s="706">
        <v>0</v>
      </c>
    </row>
    <row r="94" spans="1:17">
      <c r="A94" s="250" t="s">
        <v>366</v>
      </c>
      <c r="B94" s="252"/>
      <c r="C94" s="252"/>
      <c r="D94" s="252"/>
      <c r="E94" s="252"/>
      <c r="F94" s="252"/>
      <c r="G94" s="252"/>
      <c r="H94" s="252"/>
      <c r="I94" s="252"/>
      <c r="J94" s="252"/>
      <c r="K94" s="252"/>
      <c r="L94" s="252"/>
      <c r="M94" s="252"/>
      <c r="O94" s="253"/>
      <c r="P94" s="706">
        <v>18328</v>
      </c>
    </row>
    <row r="95" spans="1:17">
      <c r="A95" s="250" t="s">
        <v>367</v>
      </c>
      <c r="B95" s="252"/>
      <c r="C95" s="252"/>
      <c r="D95" s="252"/>
      <c r="E95" s="252"/>
      <c r="F95" s="252"/>
      <c r="G95" s="252"/>
      <c r="H95" s="252"/>
      <c r="I95" s="252"/>
      <c r="J95" s="252"/>
      <c r="K95" s="252"/>
      <c r="L95" s="252"/>
      <c r="M95" s="252"/>
      <c r="O95" s="253"/>
      <c r="P95" s="706">
        <v>40465</v>
      </c>
    </row>
    <row r="96" spans="1:17">
      <c r="A96" s="250" t="s">
        <v>372</v>
      </c>
      <c r="B96" s="252"/>
      <c r="C96" s="252"/>
      <c r="D96" s="252"/>
      <c r="E96" s="252"/>
      <c r="F96" s="252"/>
      <c r="G96" s="252"/>
      <c r="H96" s="252"/>
      <c r="I96" s="252"/>
      <c r="J96" s="252"/>
      <c r="K96" s="252"/>
      <c r="L96" s="252"/>
      <c r="M96" s="252"/>
      <c r="O96" s="253"/>
      <c r="P96" s="707">
        <v>5319</v>
      </c>
    </row>
    <row r="97" spans="1:16">
      <c r="A97" s="250" t="s">
        <v>369</v>
      </c>
      <c r="B97" s="252"/>
      <c r="C97" s="252"/>
      <c r="D97" s="252"/>
      <c r="E97" s="252"/>
      <c r="F97" s="252"/>
      <c r="G97" s="252"/>
      <c r="H97" s="252"/>
      <c r="I97" s="252"/>
      <c r="J97" s="252"/>
      <c r="K97" s="252"/>
      <c r="L97" s="252"/>
      <c r="M97" s="252"/>
      <c r="O97" s="253"/>
      <c r="P97" s="706">
        <f>SUM(P84:P96)</f>
        <v>11352615</v>
      </c>
    </row>
    <row r="98" spans="1:16">
      <c r="A98" s="250"/>
      <c r="B98" s="252"/>
      <c r="C98" s="252"/>
      <c r="D98" s="252"/>
      <c r="E98" s="252"/>
      <c r="F98" s="252"/>
      <c r="G98" s="252"/>
      <c r="H98" s="252"/>
      <c r="I98" s="252"/>
      <c r="J98" s="252"/>
      <c r="K98" s="252"/>
      <c r="L98" s="252"/>
      <c r="M98" s="252"/>
      <c r="O98" s="253"/>
      <c r="P98" s="706">
        <f>+P97-O81</f>
        <v>-2206353.9300000053</v>
      </c>
    </row>
    <row r="99" spans="1:16">
      <c r="A99" s="246" t="s">
        <v>368</v>
      </c>
      <c r="B99" s="252"/>
      <c r="C99" s="252"/>
      <c r="D99" s="252"/>
      <c r="E99" s="252"/>
      <c r="F99" s="252"/>
      <c r="G99" s="252"/>
      <c r="H99" s="252"/>
      <c r="I99" s="252"/>
      <c r="J99" s="252"/>
      <c r="K99" s="252"/>
      <c r="L99" s="252"/>
      <c r="M99" s="252"/>
      <c r="O99" s="253"/>
    </row>
    <row r="100" spans="1:16" s="255" customFormat="1">
      <c r="A100" s="251" t="s">
        <v>488</v>
      </c>
      <c r="B100" s="252">
        <v>0</v>
      </c>
      <c r="C100" s="252">
        <v>0</v>
      </c>
      <c r="D100" s="252">
        <v>1797</v>
      </c>
      <c r="E100" s="252">
        <v>0</v>
      </c>
      <c r="F100" s="252">
        <v>0</v>
      </c>
      <c r="G100" s="252">
        <v>0</v>
      </c>
      <c r="H100" s="252">
        <v>0</v>
      </c>
      <c r="I100" s="252">
        <v>0</v>
      </c>
      <c r="J100" s="252">
        <v>0</v>
      </c>
      <c r="K100" s="252">
        <v>0</v>
      </c>
      <c r="L100" s="252">
        <v>0</v>
      </c>
      <c r="M100" s="252">
        <v>-4284.09</v>
      </c>
      <c r="N100" s="245"/>
      <c r="O100" s="253">
        <f t="shared" ref="O100:O102" si="3">SUM(B100:M100)</f>
        <v>-2487.09</v>
      </c>
    </row>
    <row r="101" spans="1:16" s="255" customFormat="1">
      <c r="A101" s="251" t="s">
        <v>973</v>
      </c>
      <c r="B101" s="252">
        <v>7254.28</v>
      </c>
      <c r="C101" s="252">
        <v>0</v>
      </c>
      <c r="D101" s="252">
        <v>0</v>
      </c>
      <c r="E101" s="252">
        <v>0</v>
      </c>
      <c r="F101" s="252">
        <v>0</v>
      </c>
      <c r="G101" s="252">
        <v>0</v>
      </c>
      <c r="H101" s="252">
        <v>0</v>
      </c>
      <c r="I101" s="252">
        <v>0</v>
      </c>
      <c r="J101" s="252">
        <v>0</v>
      </c>
      <c r="K101" s="252">
        <v>0</v>
      </c>
      <c r="L101" s="252">
        <v>0</v>
      </c>
      <c r="M101" s="252">
        <v>273140.25</v>
      </c>
      <c r="N101" s="245"/>
      <c r="O101" s="253">
        <f>SUM(B101:M101)</f>
        <v>280394.53000000003</v>
      </c>
    </row>
    <row r="102" spans="1:16">
      <c r="A102" s="250" t="s">
        <v>351</v>
      </c>
      <c r="B102" s="252"/>
      <c r="C102" s="252"/>
      <c r="D102" s="252"/>
      <c r="E102" s="252"/>
      <c r="F102" s="252"/>
      <c r="G102" s="252"/>
      <c r="H102" s="252"/>
      <c r="I102" s="252"/>
      <c r="J102" s="252"/>
      <c r="K102" s="252"/>
      <c r="L102" s="252"/>
      <c r="M102" s="252"/>
      <c r="O102" s="267">
        <f t="shared" si="3"/>
        <v>0</v>
      </c>
    </row>
    <row r="103" spans="1:16" s="255" customFormat="1">
      <c r="A103" s="256"/>
      <c r="B103" s="257">
        <f>SUM(B100:B102)</f>
        <v>7254.28</v>
      </c>
      <c r="C103" s="257">
        <f t="shared" ref="C103:M103" si="4">SUM(C100:C102)</f>
        <v>0</v>
      </c>
      <c r="D103" s="257">
        <f t="shared" si="4"/>
        <v>1797</v>
      </c>
      <c r="E103" s="257">
        <f t="shared" si="4"/>
        <v>0</v>
      </c>
      <c r="F103" s="257">
        <f t="shared" si="4"/>
        <v>0</v>
      </c>
      <c r="G103" s="257">
        <f t="shared" si="4"/>
        <v>0</v>
      </c>
      <c r="H103" s="257">
        <f t="shared" si="4"/>
        <v>0</v>
      </c>
      <c r="I103" s="257">
        <f t="shared" si="4"/>
        <v>0</v>
      </c>
      <c r="J103" s="257">
        <f t="shared" si="4"/>
        <v>0</v>
      </c>
      <c r="K103" s="257">
        <f t="shared" si="4"/>
        <v>0</v>
      </c>
      <c r="L103" s="257">
        <f t="shared" si="4"/>
        <v>0</v>
      </c>
      <c r="M103" s="257">
        <f t="shared" si="4"/>
        <v>268856.15999999997</v>
      </c>
      <c r="N103" s="258"/>
      <c r="O103" s="253">
        <f>SUM(B103:M103)</f>
        <v>277907.43999999994</v>
      </c>
    </row>
    <row r="104" spans="1:16" s="255" customFormat="1">
      <c r="A104" s="256"/>
      <c r="B104" s="259"/>
      <c r="C104" s="259"/>
      <c r="D104" s="259"/>
      <c r="E104" s="259"/>
      <c r="F104" s="259"/>
      <c r="G104" s="259"/>
      <c r="H104" s="259"/>
      <c r="I104" s="259"/>
      <c r="J104" s="259"/>
      <c r="K104" s="259"/>
      <c r="L104" s="259"/>
      <c r="M104" s="259"/>
      <c r="N104" s="258"/>
      <c r="O104" s="245"/>
      <c r="P104" s="708"/>
    </row>
    <row r="105" spans="1:16">
      <c r="A105" s="250" t="s">
        <v>104</v>
      </c>
      <c r="B105" s="260">
        <f>+B81+B103</f>
        <v>1039068.38</v>
      </c>
      <c r="C105" s="260">
        <f t="shared" ref="C105:L105" si="5">+C81+C103</f>
        <v>926770.00000000023</v>
      </c>
      <c r="D105" s="260">
        <f t="shared" si="5"/>
        <v>1012145.4500000002</v>
      </c>
      <c r="E105" s="260">
        <f t="shared" si="5"/>
        <v>1168437.5599999998</v>
      </c>
      <c r="F105" s="260">
        <f t="shared" si="5"/>
        <v>1180073.1299999999</v>
      </c>
      <c r="G105" s="260">
        <f t="shared" si="5"/>
        <v>1165977.3799999997</v>
      </c>
      <c r="H105" s="260">
        <f t="shared" si="5"/>
        <v>1166228.7099999997</v>
      </c>
      <c r="I105" s="260">
        <f t="shared" si="5"/>
        <v>1190139.4200000002</v>
      </c>
      <c r="J105" s="260">
        <f t="shared" si="5"/>
        <v>1222339.3700000003</v>
      </c>
      <c r="K105" s="260">
        <f t="shared" si="5"/>
        <v>1177516.3499999996</v>
      </c>
      <c r="L105" s="260">
        <f t="shared" si="5"/>
        <v>1175197.7200000004</v>
      </c>
      <c r="M105" s="260">
        <f>+M81+M103</f>
        <v>1412982.9</v>
      </c>
      <c r="N105" s="260"/>
      <c r="O105" s="268">
        <f>+O81+O103</f>
        <v>13836876.370000005</v>
      </c>
    </row>
    <row r="106" spans="1:16">
      <c r="A106" s="256"/>
      <c r="B106" s="257"/>
      <c r="C106" s="257"/>
      <c r="D106" s="257"/>
      <c r="E106" s="257"/>
      <c r="F106" s="257"/>
      <c r="G106" s="257"/>
      <c r="H106" s="257"/>
      <c r="I106" s="257"/>
      <c r="J106" s="257"/>
      <c r="K106" s="257"/>
      <c r="L106" s="257"/>
      <c r="M106" s="257"/>
      <c r="N106" s="258"/>
    </row>
    <row r="107" spans="1:16">
      <c r="A107" s="250" t="s">
        <v>103</v>
      </c>
    </row>
    <row r="108" spans="1:16">
      <c r="A108" s="251" t="s">
        <v>580</v>
      </c>
      <c r="B108" s="252">
        <v>102</v>
      </c>
      <c r="C108" s="252">
        <v>18355.34</v>
      </c>
      <c r="D108" s="252">
        <v>102</v>
      </c>
      <c r="E108" s="252">
        <v>13415.23</v>
      </c>
      <c r="F108" s="252">
        <v>366.1</v>
      </c>
      <c r="G108" s="252">
        <v>139.6</v>
      </c>
      <c r="H108" s="252">
        <v>379.22</v>
      </c>
      <c r="I108" s="252">
        <v>0</v>
      </c>
      <c r="J108" s="252">
        <v>156.69999999999999</v>
      </c>
      <c r="K108" s="252">
        <v>102</v>
      </c>
      <c r="L108" s="252">
        <v>496.1</v>
      </c>
      <c r="M108" s="252">
        <v>204</v>
      </c>
      <c r="O108" s="245">
        <f>SUM(B108:M108)</f>
        <v>33818.289999999994</v>
      </c>
      <c r="P108" s="245"/>
    </row>
    <row r="109" spans="1:16">
      <c r="A109" s="251" t="s">
        <v>489</v>
      </c>
      <c r="B109" s="252">
        <v>226141.74</v>
      </c>
      <c r="C109" s="252">
        <v>213198.99</v>
      </c>
      <c r="D109" s="252">
        <v>322510.15999999997</v>
      </c>
      <c r="E109" s="252">
        <v>231035.99</v>
      </c>
      <c r="F109" s="252">
        <v>231186.8</v>
      </c>
      <c r="G109" s="252">
        <v>241242.57</v>
      </c>
      <c r="H109" s="252">
        <v>256471.74</v>
      </c>
      <c r="I109" s="252">
        <v>263825.68</v>
      </c>
      <c r="J109" s="252">
        <v>358911.71</v>
      </c>
      <c r="K109" s="252">
        <v>248020.38</v>
      </c>
      <c r="L109" s="252">
        <v>286262.55</v>
      </c>
      <c r="M109" s="252">
        <v>161686.1</v>
      </c>
      <c r="O109" s="245">
        <f>SUM(B109:M109)</f>
        <v>3040494.4099999997</v>
      </c>
    </row>
    <row r="110" spans="1:16">
      <c r="A110" s="251" t="s">
        <v>490</v>
      </c>
      <c r="B110" s="252">
        <v>1703.49</v>
      </c>
      <c r="C110" s="252">
        <v>1594.3</v>
      </c>
      <c r="D110" s="252">
        <v>1421.44</v>
      </c>
      <c r="E110" s="252">
        <v>2827.57</v>
      </c>
      <c r="F110" s="252">
        <v>1363.9</v>
      </c>
      <c r="G110" s="252">
        <v>4143.66</v>
      </c>
      <c r="H110" s="252">
        <v>890.73</v>
      </c>
      <c r="I110" s="252">
        <v>1831.95</v>
      </c>
      <c r="J110" s="252">
        <v>3592.24</v>
      </c>
      <c r="K110" s="252">
        <v>7831.65</v>
      </c>
      <c r="L110" s="252">
        <v>9409.35</v>
      </c>
      <c r="M110" s="252">
        <v>3721.25</v>
      </c>
      <c r="O110" s="245">
        <f t="shared" ref="O110:O182" si="6">SUM(B110:M110)</f>
        <v>40331.53</v>
      </c>
    </row>
    <row r="111" spans="1:16">
      <c r="A111" s="251" t="s">
        <v>491</v>
      </c>
      <c r="B111" s="252">
        <v>223.19</v>
      </c>
      <c r="C111" s="252">
        <v>0</v>
      </c>
      <c r="D111" s="252">
        <v>569.08000000000004</v>
      </c>
      <c r="E111" s="252">
        <v>0</v>
      </c>
      <c r="F111" s="252">
        <v>0</v>
      </c>
      <c r="G111" s="252">
        <v>0</v>
      </c>
      <c r="H111" s="252">
        <v>341.2</v>
      </c>
      <c r="I111" s="252">
        <v>332.67</v>
      </c>
      <c r="J111" s="252">
        <v>0</v>
      </c>
      <c r="K111" s="252">
        <v>0</v>
      </c>
      <c r="L111" s="252">
        <v>374.88</v>
      </c>
      <c r="M111" s="252">
        <v>0</v>
      </c>
      <c r="O111" s="245">
        <f t="shared" si="6"/>
        <v>1841.02</v>
      </c>
    </row>
    <row r="112" spans="1:16">
      <c r="A112" s="251" t="s">
        <v>492</v>
      </c>
      <c r="B112" s="252">
        <v>2108.23</v>
      </c>
      <c r="C112" s="252">
        <v>10170.18</v>
      </c>
      <c r="D112" s="252">
        <v>1298.8</v>
      </c>
      <c r="E112" s="252">
        <v>-15.1</v>
      </c>
      <c r="F112" s="252">
        <v>0</v>
      </c>
      <c r="G112" s="252">
        <v>4622.88</v>
      </c>
      <c r="H112" s="252">
        <v>-212.94</v>
      </c>
      <c r="I112" s="252">
        <v>274.23</v>
      </c>
      <c r="J112" s="252">
        <v>4988.07</v>
      </c>
      <c r="K112" s="252">
        <v>4006.89</v>
      </c>
      <c r="L112" s="252">
        <v>1188.3499999999999</v>
      </c>
      <c r="M112" s="252">
        <v>2481.9899999999998</v>
      </c>
      <c r="O112" s="245">
        <f t="shared" si="6"/>
        <v>30911.579999999994</v>
      </c>
    </row>
    <row r="113" spans="1:15">
      <c r="A113" s="251" t="s">
        <v>493</v>
      </c>
      <c r="B113" s="252">
        <v>34157.599999999999</v>
      </c>
      <c r="C113" s="252">
        <v>41685.49</v>
      </c>
      <c r="D113" s="252">
        <v>23292.22</v>
      </c>
      <c r="E113" s="252">
        <v>31477.360000000001</v>
      </c>
      <c r="F113" s="252">
        <v>48757.03</v>
      </c>
      <c r="G113" s="252">
        <v>64647.93</v>
      </c>
      <c r="H113" s="252">
        <v>34598.980000000003</v>
      </c>
      <c r="I113" s="252">
        <v>50834.6</v>
      </c>
      <c r="J113" s="252">
        <v>26319.62</v>
      </c>
      <c r="K113" s="252">
        <v>55648.43</v>
      </c>
      <c r="L113" s="252">
        <v>40066.410000000003</v>
      </c>
      <c r="M113" s="252">
        <v>-110307.56</v>
      </c>
      <c r="O113" s="245">
        <f t="shared" si="6"/>
        <v>341178.10999999993</v>
      </c>
    </row>
    <row r="114" spans="1:15">
      <c r="A114" s="251" t="s">
        <v>494</v>
      </c>
      <c r="B114" s="252">
        <v>14433.96</v>
      </c>
      <c r="C114" s="252">
        <v>9517.5300000000007</v>
      </c>
      <c r="D114" s="252">
        <v>26660.23</v>
      </c>
      <c r="E114" s="252">
        <v>15636.37</v>
      </c>
      <c r="F114" s="252">
        <v>23292.33</v>
      </c>
      <c r="G114" s="252">
        <v>18692.12</v>
      </c>
      <c r="H114" s="252">
        <v>26743.96</v>
      </c>
      <c r="I114" s="252">
        <v>32952.49</v>
      </c>
      <c r="J114" s="252">
        <v>29396.55</v>
      </c>
      <c r="K114" s="252">
        <v>19594.330000000002</v>
      </c>
      <c r="L114" s="252">
        <v>17081</v>
      </c>
      <c r="M114" s="252">
        <v>25701.39</v>
      </c>
      <c r="O114" s="245">
        <f t="shared" si="6"/>
        <v>259702.26</v>
      </c>
    </row>
    <row r="115" spans="1:15">
      <c r="A115" s="251" t="s">
        <v>495</v>
      </c>
      <c r="B115" s="252">
        <v>2538.11</v>
      </c>
      <c r="C115" s="252">
        <v>440.9</v>
      </c>
      <c r="D115" s="252">
        <v>2330.11</v>
      </c>
      <c r="E115" s="252">
        <v>1393.22</v>
      </c>
      <c r="F115" s="252">
        <v>530.24</v>
      </c>
      <c r="G115" s="252">
        <v>102.31</v>
      </c>
      <c r="H115" s="252">
        <v>392.75</v>
      </c>
      <c r="I115" s="252">
        <v>284.32</v>
      </c>
      <c r="J115" s="252">
        <v>281.01</v>
      </c>
      <c r="K115" s="252">
        <v>588.79</v>
      </c>
      <c r="L115" s="252">
        <v>1910.22</v>
      </c>
      <c r="M115" s="252">
        <v>2678.46</v>
      </c>
      <c r="O115" s="245">
        <f t="shared" si="6"/>
        <v>13470.440000000002</v>
      </c>
    </row>
    <row r="116" spans="1:15">
      <c r="A116" s="251" t="s">
        <v>496</v>
      </c>
      <c r="B116" s="252">
        <v>1985.39</v>
      </c>
      <c r="C116" s="252">
        <v>1727.52</v>
      </c>
      <c r="D116" s="252">
        <v>1643.91</v>
      </c>
      <c r="E116" s="252">
        <v>1615.78</v>
      </c>
      <c r="F116" s="252">
        <v>1827.36</v>
      </c>
      <c r="G116" s="252">
        <v>1601.5</v>
      </c>
      <c r="H116" s="252">
        <v>2101.4499999999998</v>
      </c>
      <c r="I116" s="252">
        <v>1601.5</v>
      </c>
      <c r="J116" s="252">
        <v>1650.28</v>
      </c>
      <c r="K116" s="252">
        <v>2472.7600000000002</v>
      </c>
      <c r="L116" s="252">
        <v>2055.44</v>
      </c>
      <c r="M116" s="252">
        <v>1860.32</v>
      </c>
      <c r="O116" s="245">
        <f t="shared" si="6"/>
        <v>22143.21</v>
      </c>
    </row>
    <row r="117" spans="1:15">
      <c r="A117" s="251" t="s">
        <v>497</v>
      </c>
      <c r="B117" s="252">
        <v>0</v>
      </c>
      <c r="C117" s="252">
        <v>0</v>
      </c>
      <c r="D117" s="252">
        <v>0</v>
      </c>
      <c r="E117" s="252">
        <v>0</v>
      </c>
      <c r="F117" s="252">
        <v>10523.7</v>
      </c>
      <c r="G117" s="252">
        <v>4707.43</v>
      </c>
      <c r="H117" s="252">
        <v>12967.12</v>
      </c>
      <c r="I117" s="252">
        <v>0</v>
      </c>
      <c r="J117" s="252">
        <v>0</v>
      </c>
      <c r="K117" s="252">
        <v>0</v>
      </c>
      <c r="L117" s="252">
        <v>0</v>
      </c>
      <c r="M117" s="252">
        <v>-10523.7</v>
      </c>
      <c r="O117" s="245">
        <f t="shared" si="6"/>
        <v>17674.55</v>
      </c>
    </row>
    <row r="118" spans="1:15">
      <c r="A118" s="251" t="s">
        <v>498</v>
      </c>
      <c r="B118" s="252">
        <v>898.8</v>
      </c>
      <c r="C118" s="252">
        <v>2173.7399999999998</v>
      </c>
      <c r="D118" s="252">
        <v>605.28</v>
      </c>
      <c r="E118" s="252">
        <v>0</v>
      </c>
      <c r="F118" s="252">
        <v>0</v>
      </c>
      <c r="G118" s="252">
        <v>0</v>
      </c>
      <c r="H118" s="252">
        <v>0</v>
      </c>
      <c r="I118" s="252">
        <v>8.82</v>
      </c>
      <c r="J118" s="252">
        <v>435.07</v>
      </c>
      <c r="K118" s="252">
        <v>6071.92</v>
      </c>
      <c r="L118" s="252">
        <v>0</v>
      </c>
      <c r="M118" s="252">
        <v>-6005.36</v>
      </c>
      <c r="O118" s="245">
        <f t="shared" si="6"/>
        <v>4188.2700000000013</v>
      </c>
    </row>
    <row r="119" spans="1:15">
      <c r="A119" s="251" t="s">
        <v>499</v>
      </c>
      <c r="B119" s="252">
        <v>2235.29</v>
      </c>
      <c r="C119" s="252">
        <v>0</v>
      </c>
      <c r="D119" s="252">
        <v>2098.62</v>
      </c>
      <c r="E119" s="252">
        <v>0</v>
      </c>
      <c r="F119" s="252">
        <v>37844.9</v>
      </c>
      <c r="G119" s="252">
        <v>211.6</v>
      </c>
      <c r="H119" s="252">
        <v>0</v>
      </c>
      <c r="I119" s="252">
        <v>0</v>
      </c>
      <c r="J119" s="252">
        <v>35.44</v>
      </c>
      <c r="K119" s="252">
        <v>0</v>
      </c>
      <c r="L119" s="252">
        <v>0</v>
      </c>
      <c r="M119" s="252">
        <v>-36788</v>
      </c>
      <c r="O119" s="245">
        <f t="shared" si="6"/>
        <v>5637.8499999999985</v>
      </c>
    </row>
    <row r="120" spans="1:15">
      <c r="A120" s="251" t="s">
        <v>500</v>
      </c>
      <c r="B120" s="252">
        <v>236</v>
      </c>
      <c r="C120" s="252">
        <v>749.95</v>
      </c>
      <c r="D120" s="252">
        <v>546.5</v>
      </c>
      <c r="E120" s="252">
        <v>0</v>
      </c>
      <c r="F120" s="252">
        <v>452</v>
      </c>
      <c r="G120" s="252">
        <v>1437.98</v>
      </c>
      <c r="H120" s="252">
        <v>505</v>
      </c>
      <c r="I120" s="252">
        <v>1829.25</v>
      </c>
      <c r="J120" s="252">
        <v>377.34</v>
      </c>
      <c r="K120" s="252">
        <v>1065.6500000000001</v>
      </c>
      <c r="L120" s="252">
        <v>4297.05</v>
      </c>
      <c r="M120" s="252">
        <v>346.98</v>
      </c>
      <c r="O120" s="245">
        <f t="shared" si="6"/>
        <v>11843.7</v>
      </c>
    </row>
    <row r="121" spans="1:15">
      <c r="A121" s="251" t="s">
        <v>974</v>
      </c>
      <c r="B121" s="252">
        <v>0</v>
      </c>
      <c r="C121" s="252">
        <v>0</v>
      </c>
      <c r="D121" s="252">
        <v>0</v>
      </c>
      <c r="E121" s="252">
        <v>0</v>
      </c>
      <c r="F121" s="252">
        <v>0</v>
      </c>
      <c r="G121" s="252">
        <v>0</v>
      </c>
      <c r="H121" s="252">
        <v>0</v>
      </c>
      <c r="I121" s="252">
        <v>0</v>
      </c>
      <c r="J121" s="252">
        <v>0</v>
      </c>
      <c r="K121" s="252">
        <v>0</v>
      </c>
      <c r="L121" s="252">
        <v>0</v>
      </c>
      <c r="M121" s="252">
        <v>26054.16</v>
      </c>
      <c r="O121" s="245">
        <f t="shared" si="6"/>
        <v>26054.16</v>
      </c>
    </row>
    <row r="122" spans="1:15">
      <c r="A122" s="251" t="s">
        <v>975</v>
      </c>
      <c r="B122" s="252">
        <v>0</v>
      </c>
      <c r="C122" s="252">
        <v>0</v>
      </c>
      <c r="D122" s="252">
        <v>0</v>
      </c>
      <c r="E122" s="252">
        <v>0</v>
      </c>
      <c r="F122" s="252">
        <v>0</v>
      </c>
      <c r="G122" s="252">
        <v>0</v>
      </c>
      <c r="H122" s="252">
        <v>0</v>
      </c>
      <c r="I122" s="252">
        <v>0</v>
      </c>
      <c r="J122" s="252">
        <v>0</v>
      </c>
      <c r="K122" s="252">
        <v>0</v>
      </c>
      <c r="L122" s="252">
        <v>0</v>
      </c>
      <c r="M122" s="252">
        <v>93489.97</v>
      </c>
      <c r="O122" s="245">
        <f t="shared" si="6"/>
        <v>93489.97</v>
      </c>
    </row>
    <row r="123" spans="1:15">
      <c r="A123" s="251" t="s">
        <v>976</v>
      </c>
      <c r="B123" s="252">
        <v>0</v>
      </c>
      <c r="C123" s="252">
        <v>0</v>
      </c>
      <c r="D123" s="252">
        <v>0</v>
      </c>
      <c r="E123" s="252">
        <v>0</v>
      </c>
      <c r="F123" s="252">
        <v>0</v>
      </c>
      <c r="G123" s="252">
        <v>0</v>
      </c>
      <c r="H123" s="252">
        <v>0</v>
      </c>
      <c r="I123" s="252">
        <v>0</v>
      </c>
      <c r="J123" s="252">
        <v>0</v>
      </c>
      <c r="K123" s="252">
        <v>0</v>
      </c>
      <c r="L123" s="252">
        <v>0</v>
      </c>
      <c r="M123" s="252">
        <v>880.98</v>
      </c>
      <c r="O123" s="245">
        <f t="shared" si="6"/>
        <v>880.98</v>
      </c>
    </row>
    <row r="124" spans="1:15">
      <c r="A124" s="251" t="s">
        <v>977</v>
      </c>
      <c r="B124" s="252">
        <v>0</v>
      </c>
      <c r="C124" s="252">
        <v>0</v>
      </c>
      <c r="D124" s="252">
        <v>0</v>
      </c>
      <c r="E124" s="252">
        <v>0</v>
      </c>
      <c r="F124" s="252">
        <v>0</v>
      </c>
      <c r="G124" s="252">
        <v>0</v>
      </c>
      <c r="H124" s="252">
        <v>0</v>
      </c>
      <c r="I124" s="252">
        <v>0</v>
      </c>
      <c r="J124" s="252">
        <v>0</v>
      </c>
      <c r="K124" s="252">
        <v>0</v>
      </c>
      <c r="L124" s="252">
        <v>0</v>
      </c>
      <c r="M124" s="252">
        <v>63232.84</v>
      </c>
      <c r="O124" s="245">
        <f t="shared" si="6"/>
        <v>63232.84</v>
      </c>
    </row>
    <row r="125" spans="1:15">
      <c r="A125" s="251" t="s">
        <v>978</v>
      </c>
      <c r="B125" s="252">
        <v>0</v>
      </c>
      <c r="C125" s="252">
        <v>0</v>
      </c>
      <c r="D125" s="252">
        <v>0</v>
      </c>
      <c r="E125" s="252">
        <v>0</v>
      </c>
      <c r="F125" s="252">
        <v>0</v>
      </c>
      <c r="G125" s="252">
        <v>0</v>
      </c>
      <c r="H125" s="252">
        <v>0</v>
      </c>
      <c r="I125" s="252">
        <v>0</v>
      </c>
      <c r="J125" s="252">
        <v>0</v>
      </c>
      <c r="K125" s="252">
        <v>0</v>
      </c>
      <c r="L125" s="252">
        <v>0</v>
      </c>
      <c r="M125" s="252">
        <v>864991.35</v>
      </c>
      <c r="O125" s="245">
        <f t="shared" si="6"/>
        <v>864991.35</v>
      </c>
    </row>
    <row r="126" spans="1:15">
      <c r="A126" s="251" t="s">
        <v>979</v>
      </c>
      <c r="B126" s="252">
        <v>0</v>
      </c>
      <c r="C126" s="252">
        <v>0</v>
      </c>
      <c r="D126" s="252">
        <v>0</v>
      </c>
      <c r="E126" s="252">
        <v>0</v>
      </c>
      <c r="F126" s="252">
        <v>0</v>
      </c>
      <c r="G126" s="252">
        <v>0</v>
      </c>
      <c r="H126" s="252">
        <v>0</v>
      </c>
      <c r="I126" s="252">
        <v>0</v>
      </c>
      <c r="J126" s="252">
        <v>0</v>
      </c>
      <c r="K126" s="252">
        <v>0</v>
      </c>
      <c r="L126" s="252">
        <v>0</v>
      </c>
      <c r="M126" s="252">
        <v>139129.81</v>
      </c>
      <c r="O126" s="245">
        <f t="shared" si="6"/>
        <v>139129.81</v>
      </c>
    </row>
    <row r="127" spans="1:15">
      <c r="A127" s="251" t="s">
        <v>501</v>
      </c>
      <c r="B127" s="252">
        <v>123425.94</v>
      </c>
      <c r="C127" s="252">
        <v>38366.620000000003</v>
      </c>
      <c r="D127" s="252">
        <v>92642.33</v>
      </c>
      <c r="E127" s="252">
        <v>102853.69</v>
      </c>
      <c r="F127" s="252">
        <v>91045.36</v>
      </c>
      <c r="G127" s="252">
        <v>94601.31</v>
      </c>
      <c r="H127" s="252">
        <v>40680.36</v>
      </c>
      <c r="I127" s="252">
        <v>111945.8</v>
      </c>
      <c r="J127" s="252">
        <v>386.35</v>
      </c>
      <c r="K127" s="252">
        <v>207199.3</v>
      </c>
      <c r="L127" s="252">
        <v>96339.47</v>
      </c>
      <c r="M127" s="252">
        <v>51422.8</v>
      </c>
      <c r="O127" s="245">
        <f t="shared" si="6"/>
        <v>1050909.33</v>
      </c>
    </row>
    <row r="128" spans="1:15">
      <c r="A128" s="251" t="s">
        <v>502</v>
      </c>
      <c r="B128" s="252">
        <v>10337.92</v>
      </c>
      <c r="C128" s="252">
        <v>11483.85</v>
      </c>
      <c r="D128" s="252">
        <v>6672.52</v>
      </c>
      <c r="E128" s="252">
        <v>8116.8</v>
      </c>
      <c r="F128" s="252">
        <v>7363.16</v>
      </c>
      <c r="G128" s="252">
        <v>9431.3799999999992</v>
      </c>
      <c r="H128" s="252">
        <v>7626.79</v>
      </c>
      <c r="I128" s="252">
        <v>10716.22</v>
      </c>
      <c r="J128" s="252">
        <v>9267.9599999999991</v>
      </c>
      <c r="K128" s="252">
        <v>7342.5</v>
      </c>
      <c r="L128" s="252">
        <v>10069.870000000001</v>
      </c>
      <c r="M128" s="252">
        <v>8042.03</v>
      </c>
      <c r="O128" s="245">
        <f t="shared" si="6"/>
        <v>106471</v>
      </c>
    </row>
    <row r="129" spans="1:15">
      <c r="A129" s="251" t="s">
        <v>503</v>
      </c>
      <c r="B129" s="252">
        <v>2455.7600000000002</v>
      </c>
      <c r="C129" s="252">
        <v>2137.19</v>
      </c>
      <c r="D129" s="252">
        <v>1913.37</v>
      </c>
      <c r="E129" s="252">
        <v>2877.2</v>
      </c>
      <c r="F129" s="252">
        <v>3631.44</v>
      </c>
      <c r="G129" s="252">
        <v>3112.44</v>
      </c>
      <c r="H129" s="252">
        <v>3639.59</v>
      </c>
      <c r="I129" s="252">
        <v>3435.78</v>
      </c>
      <c r="J129" s="252">
        <v>2604.67</v>
      </c>
      <c r="K129" s="252">
        <v>3927.69</v>
      </c>
      <c r="L129" s="252">
        <v>2309.09</v>
      </c>
      <c r="M129" s="252">
        <v>2681.95</v>
      </c>
      <c r="O129" s="245">
        <f t="shared" si="6"/>
        <v>34726.17</v>
      </c>
    </row>
    <row r="130" spans="1:15">
      <c r="A130" s="251" t="s">
        <v>504</v>
      </c>
      <c r="B130" s="252">
        <v>201126.76</v>
      </c>
      <c r="C130" s="252">
        <v>167279.39000000001</v>
      </c>
      <c r="D130" s="252">
        <v>226701</v>
      </c>
      <c r="E130" s="252">
        <v>220364.76</v>
      </c>
      <c r="F130" s="252">
        <v>246383.01</v>
      </c>
      <c r="G130" s="252">
        <v>244853.31</v>
      </c>
      <c r="H130" s="252">
        <v>223089.07</v>
      </c>
      <c r="I130" s="252">
        <v>249253.4</v>
      </c>
      <c r="J130" s="252">
        <v>231321.78</v>
      </c>
      <c r="K130" s="252">
        <v>223321.54</v>
      </c>
      <c r="L130" s="252">
        <v>252694.41</v>
      </c>
      <c r="M130" s="252">
        <v>190002.85</v>
      </c>
      <c r="O130" s="245">
        <f t="shared" si="6"/>
        <v>2676391.2800000003</v>
      </c>
    </row>
    <row r="131" spans="1:15">
      <c r="A131" s="251" t="s">
        <v>505</v>
      </c>
      <c r="B131" s="252">
        <v>7310.62</v>
      </c>
      <c r="C131" s="252">
        <v>5913.78</v>
      </c>
      <c r="D131" s="252">
        <v>10970.7</v>
      </c>
      <c r="E131" s="252">
        <v>8339.2099999999991</v>
      </c>
      <c r="F131" s="252">
        <v>11639.28</v>
      </c>
      <c r="G131" s="252">
        <v>7925.87</v>
      </c>
      <c r="H131" s="252">
        <v>8312.8799999999992</v>
      </c>
      <c r="I131" s="252">
        <v>9237.98</v>
      </c>
      <c r="J131" s="252">
        <v>9045.42</v>
      </c>
      <c r="K131" s="252">
        <v>7912.54</v>
      </c>
      <c r="L131" s="252">
        <v>11123.09</v>
      </c>
      <c r="M131" s="252">
        <v>6977.76</v>
      </c>
      <c r="O131" s="245">
        <f t="shared" si="6"/>
        <v>104709.12999999998</v>
      </c>
    </row>
    <row r="132" spans="1:15">
      <c r="A132" s="251" t="s">
        <v>506</v>
      </c>
      <c r="B132" s="252">
        <v>5475.82</v>
      </c>
      <c r="C132" s="252">
        <v>4500.57</v>
      </c>
      <c r="D132" s="252">
        <v>4812.4799999999996</v>
      </c>
      <c r="E132" s="252">
        <v>5732.97</v>
      </c>
      <c r="F132" s="252">
        <v>6287.74</v>
      </c>
      <c r="G132" s="252">
        <v>6043.93</v>
      </c>
      <c r="H132" s="252">
        <v>6776.66</v>
      </c>
      <c r="I132" s="252">
        <v>5246.77</v>
      </c>
      <c r="J132" s="252">
        <v>4542.47</v>
      </c>
      <c r="K132" s="252">
        <v>5273.92</v>
      </c>
      <c r="L132" s="252">
        <v>5732.02</v>
      </c>
      <c r="M132" s="252">
        <v>7668.25</v>
      </c>
      <c r="O132" s="245">
        <f t="shared" si="6"/>
        <v>68093.600000000006</v>
      </c>
    </row>
    <row r="133" spans="1:15">
      <c r="A133" s="251" t="s">
        <v>507</v>
      </c>
      <c r="B133" s="252">
        <v>20834.23</v>
      </c>
      <c r="C133" s="252">
        <v>8515.8799999999992</v>
      </c>
      <c r="D133" s="252">
        <v>11263.08</v>
      </c>
      <c r="E133" s="252">
        <v>14547.43</v>
      </c>
      <c r="F133" s="252">
        <v>17669.88</v>
      </c>
      <c r="G133" s="252">
        <v>9486.86</v>
      </c>
      <c r="H133" s="252">
        <v>16249.85</v>
      </c>
      <c r="I133" s="252">
        <v>17447.97</v>
      </c>
      <c r="J133" s="252">
        <v>17838.93</v>
      </c>
      <c r="K133" s="252">
        <v>20218.5</v>
      </c>
      <c r="L133" s="252">
        <v>15537.93</v>
      </c>
      <c r="M133" s="252">
        <v>15977.47</v>
      </c>
      <c r="O133" s="245">
        <f t="shared" si="6"/>
        <v>185588.01</v>
      </c>
    </row>
    <row r="134" spans="1:15">
      <c r="A134" s="251" t="s">
        <v>508</v>
      </c>
      <c r="B134" s="252">
        <v>541.73</v>
      </c>
      <c r="C134" s="252">
        <v>466.49</v>
      </c>
      <c r="D134" s="252">
        <v>620.01</v>
      </c>
      <c r="E134" s="252">
        <v>574.33000000000004</v>
      </c>
      <c r="F134" s="252">
        <v>492.61</v>
      </c>
      <c r="G134" s="252">
        <v>841.96</v>
      </c>
      <c r="H134" s="252">
        <v>569.52</v>
      </c>
      <c r="I134" s="252">
        <v>678.1</v>
      </c>
      <c r="J134" s="252">
        <v>282.72000000000003</v>
      </c>
      <c r="K134" s="252">
        <v>0</v>
      </c>
      <c r="L134" s="252">
        <v>565.44000000000005</v>
      </c>
      <c r="M134" s="252">
        <v>0</v>
      </c>
      <c r="O134" s="245">
        <f t="shared" si="6"/>
        <v>5632.91</v>
      </c>
    </row>
    <row r="135" spans="1:15">
      <c r="A135" s="251" t="s">
        <v>509</v>
      </c>
      <c r="B135" s="252">
        <v>4063.77</v>
      </c>
      <c r="C135" s="252">
        <v>3443.31</v>
      </c>
      <c r="D135" s="252">
        <v>4835.7</v>
      </c>
      <c r="E135" s="252">
        <v>4374</v>
      </c>
      <c r="F135" s="252">
        <v>4761.99</v>
      </c>
      <c r="G135" s="252">
        <v>4870.53</v>
      </c>
      <c r="H135" s="252">
        <v>3998.97</v>
      </c>
      <c r="I135" s="252">
        <v>5363.71</v>
      </c>
      <c r="J135" s="252">
        <v>4442.8500000000004</v>
      </c>
      <c r="K135" s="252">
        <v>3904.2</v>
      </c>
      <c r="L135" s="252">
        <v>4776.57</v>
      </c>
      <c r="M135" s="252">
        <v>3664.44</v>
      </c>
      <c r="O135" s="245">
        <f t="shared" si="6"/>
        <v>52500.039999999994</v>
      </c>
    </row>
    <row r="136" spans="1:15">
      <c r="A136" s="251" t="s">
        <v>510</v>
      </c>
      <c r="B136" s="252">
        <v>4376.38</v>
      </c>
      <c r="C136" s="252">
        <v>3965.09</v>
      </c>
      <c r="D136" s="252">
        <v>5502.24</v>
      </c>
      <c r="E136" s="252">
        <v>5355.4</v>
      </c>
      <c r="F136" s="252">
        <v>6684.92</v>
      </c>
      <c r="G136" s="252">
        <v>7627.4</v>
      </c>
      <c r="H136" s="252">
        <v>5830.93</v>
      </c>
      <c r="I136" s="252">
        <v>6928.27</v>
      </c>
      <c r="J136" s="252">
        <v>6538.7</v>
      </c>
      <c r="K136" s="252">
        <v>6250.9</v>
      </c>
      <c r="L136" s="252">
        <v>5928.37</v>
      </c>
      <c r="M136" s="252">
        <v>4498.03</v>
      </c>
      <c r="O136" s="245">
        <f t="shared" si="6"/>
        <v>69486.63</v>
      </c>
    </row>
    <row r="137" spans="1:15">
      <c r="A137" s="251" t="s">
        <v>511</v>
      </c>
      <c r="B137" s="252">
        <v>1519.52</v>
      </c>
      <c r="C137" s="252">
        <v>1198.8699999999999</v>
      </c>
      <c r="D137" s="252">
        <v>1305.0899999999999</v>
      </c>
      <c r="E137" s="252">
        <v>1463.89</v>
      </c>
      <c r="F137" s="252">
        <v>1872.61</v>
      </c>
      <c r="G137" s="252">
        <v>1438.68</v>
      </c>
      <c r="H137" s="252">
        <v>1072.8</v>
      </c>
      <c r="I137" s="252">
        <v>1721.51</v>
      </c>
      <c r="J137" s="252">
        <v>1412.57</v>
      </c>
      <c r="K137" s="252">
        <v>1803.9</v>
      </c>
      <c r="L137" s="252">
        <v>1436.72</v>
      </c>
      <c r="M137" s="252">
        <v>1255.0999999999999</v>
      </c>
      <c r="O137" s="245">
        <f t="shared" si="6"/>
        <v>17501.259999999998</v>
      </c>
    </row>
    <row r="138" spans="1:15">
      <c r="A138" s="251" t="s">
        <v>512</v>
      </c>
      <c r="B138" s="252">
        <v>32641.599999999999</v>
      </c>
      <c r="C138" s="252">
        <v>26730.400000000001</v>
      </c>
      <c r="D138" s="252">
        <v>32032</v>
      </c>
      <c r="E138" s="252">
        <v>31663</v>
      </c>
      <c r="F138" s="252">
        <v>35468.35</v>
      </c>
      <c r="G138" s="252">
        <v>31112.6</v>
      </c>
      <c r="H138" s="252">
        <v>30728.5</v>
      </c>
      <c r="I138" s="252">
        <v>39123.599999999999</v>
      </c>
      <c r="J138" s="252">
        <v>30909.599999999999</v>
      </c>
      <c r="K138" s="252">
        <v>43983.8</v>
      </c>
      <c r="L138" s="252">
        <v>42201.4</v>
      </c>
      <c r="M138" s="252">
        <v>40260</v>
      </c>
      <c r="O138" s="245">
        <f t="shared" si="6"/>
        <v>416854.85000000003</v>
      </c>
    </row>
    <row r="139" spans="1:15">
      <c r="A139" s="251" t="s">
        <v>513</v>
      </c>
      <c r="B139" s="252">
        <v>158.01</v>
      </c>
      <c r="C139" s="252">
        <v>0</v>
      </c>
      <c r="D139" s="252">
        <v>0</v>
      </c>
      <c r="E139" s="252">
        <v>129.1</v>
      </c>
      <c r="F139" s="252">
        <v>0</v>
      </c>
      <c r="G139" s="252">
        <v>0</v>
      </c>
      <c r="H139" s="252">
        <v>213.94</v>
      </c>
      <c r="I139" s="252">
        <v>226.65</v>
      </c>
      <c r="J139" s="252">
        <v>0</v>
      </c>
      <c r="K139" s="252">
        <v>0</v>
      </c>
      <c r="L139" s="252">
        <v>0</v>
      </c>
      <c r="M139" s="252">
        <v>0</v>
      </c>
      <c r="O139" s="245">
        <f t="shared" si="6"/>
        <v>727.7</v>
      </c>
    </row>
    <row r="140" spans="1:15">
      <c r="A140" s="251" t="s">
        <v>514</v>
      </c>
      <c r="B140" s="252">
        <v>0</v>
      </c>
      <c r="C140" s="252">
        <v>1000</v>
      </c>
      <c r="D140" s="252">
        <v>500</v>
      </c>
      <c r="E140" s="252">
        <v>0</v>
      </c>
      <c r="F140" s="252">
        <v>1000</v>
      </c>
      <c r="G140" s="252">
        <v>500</v>
      </c>
      <c r="H140" s="252">
        <v>1000</v>
      </c>
      <c r="I140" s="252">
        <v>0</v>
      </c>
      <c r="J140" s="252">
        <v>500</v>
      </c>
      <c r="K140" s="252">
        <v>500</v>
      </c>
      <c r="L140" s="252">
        <v>1000</v>
      </c>
      <c r="M140" s="252">
        <v>0</v>
      </c>
      <c r="O140" s="245">
        <f t="shared" si="6"/>
        <v>6000</v>
      </c>
    </row>
    <row r="141" spans="1:15">
      <c r="A141" s="251" t="s">
        <v>515</v>
      </c>
      <c r="B141" s="252">
        <v>50529.58</v>
      </c>
      <c r="C141" s="252">
        <v>50864.53</v>
      </c>
      <c r="D141" s="252">
        <v>50864.53</v>
      </c>
      <c r="E141" s="252">
        <v>50864.53</v>
      </c>
      <c r="F141" s="252">
        <v>101729.06</v>
      </c>
      <c r="G141" s="252">
        <v>0</v>
      </c>
      <c r="H141" s="252">
        <v>53027.11</v>
      </c>
      <c r="I141" s="252">
        <v>67284.02</v>
      </c>
      <c r="J141" s="252">
        <v>53284.02</v>
      </c>
      <c r="K141" s="252">
        <v>53284.02</v>
      </c>
      <c r="L141" s="252">
        <v>39284.019999999997</v>
      </c>
      <c r="M141" s="252">
        <v>53284.02</v>
      </c>
      <c r="O141" s="245">
        <f t="shared" si="6"/>
        <v>624299.44000000006</v>
      </c>
    </row>
    <row r="142" spans="1:15">
      <c r="A142" s="251" t="s">
        <v>516</v>
      </c>
      <c r="B142" s="252">
        <v>13137.75</v>
      </c>
      <c r="C142" s="252">
        <v>1734.25</v>
      </c>
      <c r="D142" s="252">
        <v>6358.75</v>
      </c>
      <c r="E142" s="252">
        <v>398.75</v>
      </c>
      <c r="F142" s="252">
        <v>3216.25</v>
      </c>
      <c r="G142" s="252">
        <v>3355.5</v>
      </c>
      <c r="H142" s="252">
        <v>607.5</v>
      </c>
      <c r="I142" s="252">
        <v>6369.25</v>
      </c>
      <c r="J142" s="252">
        <v>10262.25</v>
      </c>
      <c r="K142" s="252">
        <v>90</v>
      </c>
      <c r="L142" s="252">
        <v>12086.75</v>
      </c>
      <c r="M142" s="252">
        <v>1016.5</v>
      </c>
      <c r="O142" s="245">
        <f t="shared" si="6"/>
        <v>58633.5</v>
      </c>
    </row>
    <row r="143" spans="1:15">
      <c r="A143" s="251" t="s">
        <v>517</v>
      </c>
      <c r="B143" s="252">
        <v>0</v>
      </c>
      <c r="C143" s="252">
        <v>0</v>
      </c>
      <c r="D143" s="252">
        <v>43336.82</v>
      </c>
      <c r="E143" s="252">
        <v>141.6</v>
      </c>
      <c r="F143" s="252">
        <v>0</v>
      </c>
      <c r="G143" s="252">
        <v>0</v>
      </c>
      <c r="H143" s="252">
        <v>0</v>
      </c>
      <c r="I143" s="252">
        <v>0</v>
      </c>
      <c r="J143" s="252">
        <v>0</v>
      </c>
      <c r="K143" s="252">
        <v>0</v>
      </c>
      <c r="L143" s="252">
        <v>-134.26</v>
      </c>
      <c r="M143" s="252">
        <v>0</v>
      </c>
      <c r="O143" s="245">
        <f t="shared" si="6"/>
        <v>43344.159999999996</v>
      </c>
    </row>
    <row r="144" spans="1:15">
      <c r="A144" s="251" t="s">
        <v>518</v>
      </c>
      <c r="B144" s="252">
        <v>0</v>
      </c>
      <c r="C144" s="252">
        <v>0</v>
      </c>
      <c r="D144" s="252">
        <v>724.63</v>
      </c>
      <c r="E144" s="252">
        <v>0</v>
      </c>
      <c r="F144" s="252">
        <v>0</v>
      </c>
      <c r="G144" s="252">
        <v>0</v>
      </c>
      <c r="H144" s="252">
        <v>0</v>
      </c>
      <c r="I144" s="252">
        <v>0</v>
      </c>
      <c r="J144" s="252">
        <v>0</v>
      </c>
      <c r="K144" s="252">
        <v>0</v>
      </c>
      <c r="L144" s="252">
        <v>0</v>
      </c>
      <c r="M144" s="252">
        <v>0</v>
      </c>
      <c r="O144" s="245">
        <f t="shared" si="6"/>
        <v>724.63</v>
      </c>
    </row>
    <row r="145" spans="1:15">
      <c r="A145" s="251" t="s">
        <v>980</v>
      </c>
      <c r="B145" s="252">
        <v>0</v>
      </c>
      <c r="C145" s="252">
        <v>0</v>
      </c>
      <c r="D145" s="252">
        <v>0</v>
      </c>
      <c r="E145" s="252">
        <v>0</v>
      </c>
      <c r="F145" s="252">
        <v>0</v>
      </c>
      <c r="G145" s="252">
        <v>0</v>
      </c>
      <c r="H145" s="252">
        <v>0</v>
      </c>
      <c r="I145" s="252">
        <v>0</v>
      </c>
      <c r="J145" s="252">
        <v>0</v>
      </c>
      <c r="K145" s="252">
        <v>0</v>
      </c>
      <c r="L145" s="252">
        <v>0</v>
      </c>
      <c r="M145" s="252">
        <v>227202.17</v>
      </c>
      <c r="O145" s="245">
        <f t="shared" si="6"/>
        <v>227202.17</v>
      </c>
    </row>
    <row r="146" spans="1:15">
      <c r="A146" s="251" t="s">
        <v>981</v>
      </c>
      <c r="B146" s="252">
        <v>0</v>
      </c>
      <c r="C146" s="252">
        <v>0</v>
      </c>
      <c r="D146" s="252">
        <v>0</v>
      </c>
      <c r="E146" s="252">
        <v>0</v>
      </c>
      <c r="F146" s="252">
        <v>0</v>
      </c>
      <c r="G146" s="252">
        <v>0</v>
      </c>
      <c r="H146" s="252">
        <v>0</v>
      </c>
      <c r="I146" s="252">
        <v>0</v>
      </c>
      <c r="J146" s="252">
        <v>0</v>
      </c>
      <c r="K146" s="252">
        <v>0</v>
      </c>
      <c r="L146" s="252">
        <v>0</v>
      </c>
      <c r="M146" s="252">
        <v>2162.21</v>
      </c>
      <c r="O146" s="245">
        <f t="shared" si="6"/>
        <v>2162.21</v>
      </c>
    </row>
    <row r="147" spans="1:15">
      <c r="A147" s="251" t="s">
        <v>982</v>
      </c>
      <c r="B147" s="252">
        <v>0</v>
      </c>
      <c r="C147" s="252">
        <v>0</v>
      </c>
      <c r="D147" s="252">
        <v>0</v>
      </c>
      <c r="E147" s="252">
        <v>0</v>
      </c>
      <c r="F147" s="252">
        <v>0</v>
      </c>
      <c r="G147" s="252">
        <v>0</v>
      </c>
      <c r="H147" s="252">
        <v>0</v>
      </c>
      <c r="I147" s="252">
        <v>0</v>
      </c>
      <c r="J147" s="252">
        <v>0</v>
      </c>
      <c r="K147" s="252">
        <v>0</v>
      </c>
      <c r="L147" s="252">
        <v>0</v>
      </c>
      <c r="M147" s="252">
        <v>19966.93</v>
      </c>
      <c r="O147" s="245">
        <f t="shared" si="6"/>
        <v>19966.93</v>
      </c>
    </row>
    <row r="148" spans="1:15">
      <c r="A148" s="251" t="s">
        <v>519</v>
      </c>
      <c r="B148" s="252">
        <v>1076.03</v>
      </c>
      <c r="C148" s="252">
        <v>1167.77</v>
      </c>
      <c r="D148" s="252">
        <v>0</v>
      </c>
      <c r="E148" s="252">
        <v>1255.75</v>
      </c>
      <c r="F148" s="252">
        <v>2666.12</v>
      </c>
      <c r="G148" s="252">
        <v>1234.6199999999999</v>
      </c>
      <c r="H148" s="252">
        <v>1218.6099999999999</v>
      </c>
      <c r="I148" s="252">
        <v>1322.87</v>
      </c>
      <c r="J148" s="252">
        <v>1262.8800000000001</v>
      </c>
      <c r="K148" s="252">
        <v>1315.63</v>
      </c>
      <c r="L148" s="252">
        <v>1265.04</v>
      </c>
      <c r="M148" s="252">
        <v>1186.57</v>
      </c>
      <c r="O148" s="245">
        <f t="shared" si="6"/>
        <v>14971.890000000003</v>
      </c>
    </row>
    <row r="149" spans="1:15">
      <c r="A149" s="251" t="s">
        <v>520</v>
      </c>
      <c r="B149" s="252">
        <v>1175.04</v>
      </c>
      <c r="C149" s="252">
        <v>1377.39</v>
      </c>
      <c r="D149" s="252">
        <v>0</v>
      </c>
      <c r="E149" s="252">
        <v>1228.57</v>
      </c>
      <c r="F149" s="252">
        <v>3219.57</v>
      </c>
      <c r="G149" s="252">
        <v>1702.68</v>
      </c>
      <c r="H149" s="252">
        <v>1469.28</v>
      </c>
      <c r="I149" s="252">
        <v>1738.06</v>
      </c>
      <c r="J149" s="252">
        <v>1530.06</v>
      </c>
      <c r="K149" s="252">
        <v>1967.15</v>
      </c>
      <c r="L149" s="252">
        <v>1640.6</v>
      </c>
      <c r="M149" s="252">
        <v>1927.12</v>
      </c>
      <c r="O149" s="245">
        <f t="shared" si="6"/>
        <v>18975.519999999997</v>
      </c>
    </row>
    <row r="150" spans="1:15">
      <c r="A150" s="251" t="s">
        <v>521</v>
      </c>
      <c r="B150" s="252">
        <v>23.82</v>
      </c>
      <c r="C150" s="252">
        <v>22.65</v>
      </c>
      <c r="D150" s="252">
        <v>0</v>
      </c>
      <c r="E150" s="252">
        <v>34.06</v>
      </c>
      <c r="F150" s="252">
        <v>48.85</v>
      </c>
      <c r="G150" s="252">
        <v>21.35</v>
      </c>
      <c r="H150" s="252">
        <v>21.16</v>
      </c>
      <c r="I150" s="252">
        <v>20.78</v>
      </c>
      <c r="J150" s="252">
        <v>20.97</v>
      </c>
      <c r="K150" s="252">
        <v>20.65</v>
      </c>
      <c r="L150" s="252">
        <v>20.59</v>
      </c>
      <c r="M150" s="252">
        <v>20.52</v>
      </c>
      <c r="O150" s="245">
        <f t="shared" si="6"/>
        <v>275.39999999999998</v>
      </c>
    </row>
    <row r="151" spans="1:15">
      <c r="A151" s="251" t="s">
        <v>522</v>
      </c>
      <c r="B151" s="252">
        <v>8090.83</v>
      </c>
      <c r="C151" s="252">
        <v>7565.43</v>
      </c>
      <c r="D151" s="252">
        <v>0</v>
      </c>
      <c r="E151" s="252">
        <v>8053.35</v>
      </c>
      <c r="F151" s="252">
        <v>19874.189999999999</v>
      </c>
      <c r="G151" s="252">
        <v>9899.61</v>
      </c>
      <c r="H151" s="252">
        <v>10104.27</v>
      </c>
      <c r="I151" s="252">
        <v>10158.15</v>
      </c>
      <c r="J151" s="252">
        <v>10096.700000000001</v>
      </c>
      <c r="K151" s="252">
        <v>10172.24</v>
      </c>
      <c r="L151" s="252">
        <v>10533.39</v>
      </c>
      <c r="M151" s="252">
        <v>9669.2099999999991</v>
      </c>
      <c r="O151" s="245">
        <f t="shared" si="6"/>
        <v>114217.37</v>
      </c>
    </row>
    <row r="152" spans="1:15">
      <c r="A152" s="251" t="s">
        <v>523</v>
      </c>
      <c r="B152" s="252">
        <v>700.98</v>
      </c>
      <c r="C152" s="252">
        <v>681.4</v>
      </c>
      <c r="D152" s="252">
        <v>0</v>
      </c>
      <c r="E152" s="252">
        <v>795.82</v>
      </c>
      <c r="F152" s="252">
        <v>1446.94</v>
      </c>
      <c r="G152" s="252">
        <v>742.11</v>
      </c>
      <c r="H152" s="252">
        <v>820.37</v>
      </c>
      <c r="I152" s="252">
        <v>744.08</v>
      </c>
      <c r="J152" s="252">
        <v>805.5</v>
      </c>
      <c r="K152" s="252">
        <v>753.93</v>
      </c>
      <c r="L152" s="252">
        <v>725.06</v>
      </c>
      <c r="M152" s="252">
        <v>764.27</v>
      </c>
      <c r="O152" s="245">
        <f t="shared" si="6"/>
        <v>8980.4600000000009</v>
      </c>
    </row>
    <row r="153" spans="1:15">
      <c r="A153" s="251" t="s">
        <v>524</v>
      </c>
      <c r="B153" s="252">
        <v>376.31</v>
      </c>
      <c r="C153" s="252">
        <v>379.19</v>
      </c>
      <c r="D153" s="252">
        <v>0</v>
      </c>
      <c r="E153" s="252">
        <v>382.57</v>
      </c>
      <c r="F153" s="252">
        <v>781.43</v>
      </c>
      <c r="G153" s="252">
        <v>400.88</v>
      </c>
      <c r="H153" s="252">
        <v>396.97</v>
      </c>
      <c r="I153" s="252">
        <v>412.13</v>
      </c>
      <c r="J153" s="252">
        <v>409.82</v>
      </c>
      <c r="K153" s="252">
        <v>424.14</v>
      </c>
      <c r="L153" s="252">
        <v>374.13</v>
      </c>
      <c r="M153" s="252">
        <v>391.25</v>
      </c>
      <c r="O153" s="245">
        <f t="shared" si="6"/>
        <v>4728.8200000000006</v>
      </c>
    </row>
    <row r="154" spans="1:15">
      <c r="A154" s="251" t="s">
        <v>525</v>
      </c>
      <c r="B154" s="252">
        <v>384.44</v>
      </c>
      <c r="C154" s="252">
        <v>400.72</v>
      </c>
      <c r="D154" s="252">
        <v>0</v>
      </c>
      <c r="E154" s="252">
        <v>388.02</v>
      </c>
      <c r="F154" s="252">
        <v>794.52</v>
      </c>
      <c r="G154" s="252">
        <v>402.44</v>
      </c>
      <c r="H154" s="252">
        <v>448.36</v>
      </c>
      <c r="I154" s="252">
        <v>414.29</v>
      </c>
      <c r="J154" s="252">
        <v>398.71</v>
      </c>
      <c r="K154" s="252">
        <v>399.5</v>
      </c>
      <c r="L154" s="252">
        <v>384.79</v>
      </c>
      <c r="M154" s="252">
        <v>383.19</v>
      </c>
      <c r="O154" s="245">
        <f t="shared" si="6"/>
        <v>4798.9799999999996</v>
      </c>
    </row>
    <row r="155" spans="1:15">
      <c r="A155" s="251" t="s">
        <v>526</v>
      </c>
      <c r="B155" s="252">
        <v>903.65</v>
      </c>
      <c r="C155" s="252">
        <v>806.39</v>
      </c>
      <c r="D155" s="252">
        <v>0</v>
      </c>
      <c r="E155" s="252">
        <v>991.92</v>
      </c>
      <c r="F155" s="252">
        <v>1710.88</v>
      </c>
      <c r="G155" s="252">
        <v>810.57</v>
      </c>
      <c r="H155" s="252">
        <v>824.5</v>
      </c>
      <c r="I155" s="252">
        <v>870.38</v>
      </c>
      <c r="J155" s="252">
        <v>924.03</v>
      </c>
      <c r="K155" s="252">
        <v>921.07</v>
      </c>
      <c r="L155" s="252">
        <v>891.28</v>
      </c>
      <c r="M155" s="252">
        <v>756.8</v>
      </c>
      <c r="O155" s="245">
        <f t="shared" si="6"/>
        <v>10411.469999999999</v>
      </c>
    </row>
    <row r="156" spans="1:15">
      <c r="A156" s="251" t="s">
        <v>527</v>
      </c>
      <c r="B156" s="252">
        <v>1457.39</v>
      </c>
      <c r="C156" s="252">
        <v>1409.64</v>
      </c>
      <c r="D156" s="252">
        <v>0</v>
      </c>
      <c r="E156" s="252">
        <v>1858.84</v>
      </c>
      <c r="F156" s="252">
        <v>4664.6000000000004</v>
      </c>
      <c r="G156" s="252">
        <v>2330.37</v>
      </c>
      <c r="H156" s="252">
        <v>2174.16</v>
      </c>
      <c r="I156" s="252">
        <v>2018</v>
      </c>
      <c r="J156" s="252">
        <v>2133.73</v>
      </c>
      <c r="K156" s="252">
        <v>1913.55</v>
      </c>
      <c r="L156" s="252">
        <v>1957.86</v>
      </c>
      <c r="M156" s="252">
        <v>1706.52</v>
      </c>
      <c r="O156" s="245">
        <f t="shared" si="6"/>
        <v>23624.66</v>
      </c>
    </row>
    <row r="157" spans="1:15">
      <c r="A157" s="251" t="s">
        <v>528</v>
      </c>
      <c r="B157" s="252">
        <v>627.6</v>
      </c>
      <c r="C157" s="252">
        <v>608.99</v>
      </c>
      <c r="D157" s="252">
        <v>0</v>
      </c>
      <c r="E157" s="252">
        <v>630.21</v>
      </c>
      <c r="F157" s="252">
        <v>1332.84</v>
      </c>
      <c r="G157" s="252">
        <v>644.69000000000005</v>
      </c>
      <c r="H157" s="252">
        <v>658.12</v>
      </c>
      <c r="I157" s="252">
        <v>642.01</v>
      </c>
      <c r="J157" s="252">
        <v>644.65</v>
      </c>
      <c r="K157" s="252">
        <v>632.88</v>
      </c>
      <c r="L157" s="252">
        <v>615.95000000000005</v>
      </c>
      <c r="M157" s="252">
        <v>618.14</v>
      </c>
      <c r="O157" s="245">
        <f t="shared" si="6"/>
        <v>7656.0800000000008</v>
      </c>
    </row>
    <row r="158" spans="1:15">
      <c r="A158" s="251" t="s">
        <v>529</v>
      </c>
      <c r="B158" s="252">
        <v>52.17</v>
      </c>
      <c r="C158" s="252">
        <v>8.17</v>
      </c>
      <c r="D158" s="252">
        <v>0</v>
      </c>
      <c r="E158" s="252">
        <v>55.62</v>
      </c>
      <c r="F158" s="252">
        <v>67.16</v>
      </c>
      <c r="G158" s="252">
        <v>19.47</v>
      </c>
      <c r="H158" s="252">
        <v>22.39</v>
      </c>
      <c r="I158" s="252">
        <v>18.059999999999999</v>
      </c>
      <c r="J158" s="252">
        <v>54.87</v>
      </c>
      <c r="K158" s="252">
        <v>10.92</v>
      </c>
      <c r="L158" s="252">
        <v>45.36</v>
      </c>
      <c r="M158" s="252">
        <v>30.94</v>
      </c>
      <c r="O158" s="245">
        <f t="shared" si="6"/>
        <v>385.13000000000005</v>
      </c>
    </row>
    <row r="159" spans="1:15">
      <c r="A159" s="251" t="s">
        <v>530</v>
      </c>
      <c r="B159" s="252">
        <v>210.29</v>
      </c>
      <c r="C159" s="252">
        <v>206.01</v>
      </c>
      <c r="D159" s="252">
        <v>0</v>
      </c>
      <c r="E159" s="252">
        <v>217.26</v>
      </c>
      <c r="F159" s="252">
        <v>515.83000000000004</v>
      </c>
      <c r="G159" s="252">
        <v>250.66</v>
      </c>
      <c r="H159" s="252">
        <v>242.41</v>
      </c>
      <c r="I159" s="252">
        <v>251.11</v>
      </c>
      <c r="J159" s="252">
        <v>256.10000000000002</v>
      </c>
      <c r="K159" s="252">
        <v>230.73</v>
      </c>
      <c r="L159" s="252">
        <v>212.82</v>
      </c>
      <c r="M159" s="252">
        <v>212.75</v>
      </c>
      <c r="O159" s="245">
        <f t="shared" si="6"/>
        <v>2805.9700000000003</v>
      </c>
    </row>
    <row r="160" spans="1:15">
      <c r="A160" s="251" t="s">
        <v>531</v>
      </c>
      <c r="B160" s="252">
        <v>249</v>
      </c>
      <c r="C160" s="252">
        <v>242.39</v>
      </c>
      <c r="D160" s="252">
        <v>0</v>
      </c>
      <c r="E160" s="252">
        <v>248.79</v>
      </c>
      <c r="F160" s="252">
        <v>604.15</v>
      </c>
      <c r="G160" s="252">
        <v>315.97000000000003</v>
      </c>
      <c r="H160" s="252">
        <v>341.84</v>
      </c>
      <c r="I160" s="252">
        <v>410.68</v>
      </c>
      <c r="J160" s="252">
        <v>334.47</v>
      </c>
      <c r="K160" s="252">
        <v>288.3</v>
      </c>
      <c r="L160" s="252">
        <v>290.08</v>
      </c>
      <c r="M160" s="252">
        <v>274.69</v>
      </c>
      <c r="O160" s="245">
        <f t="shared" si="6"/>
        <v>3600.36</v>
      </c>
    </row>
    <row r="161" spans="1:15">
      <c r="A161" s="251" t="s">
        <v>532</v>
      </c>
      <c r="B161" s="252">
        <v>68.41</v>
      </c>
      <c r="C161" s="252">
        <v>66.94</v>
      </c>
      <c r="D161" s="252">
        <v>0</v>
      </c>
      <c r="E161" s="252">
        <v>69.05</v>
      </c>
      <c r="F161" s="252">
        <v>142.44</v>
      </c>
      <c r="G161" s="252">
        <v>69.59</v>
      </c>
      <c r="H161" s="252">
        <v>68.02</v>
      </c>
      <c r="I161" s="252">
        <v>72.48</v>
      </c>
      <c r="J161" s="252">
        <v>69.959999999999994</v>
      </c>
      <c r="K161" s="252">
        <v>68.569999999999993</v>
      </c>
      <c r="L161" s="252">
        <v>69.39</v>
      </c>
      <c r="M161" s="252">
        <v>62.64</v>
      </c>
      <c r="O161" s="245">
        <f t="shared" si="6"/>
        <v>827.49</v>
      </c>
    </row>
    <row r="162" spans="1:15">
      <c r="A162" s="251" t="s">
        <v>533</v>
      </c>
      <c r="B162" s="252">
        <v>613.36</v>
      </c>
      <c r="C162" s="252">
        <v>233.39</v>
      </c>
      <c r="D162" s="252">
        <v>0</v>
      </c>
      <c r="E162" s="252">
        <v>291.93</v>
      </c>
      <c r="F162" s="252">
        <v>567.09</v>
      </c>
      <c r="G162" s="252">
        <v>304.95999999999998</v>
      </c>
      <c r="H162" s="252">
        <v>281.33</v>
      </c>
      <c r="I162" s="252">
        <v>325.26</v>
      </c>
      <c r="J162" s="252">
        <v>534.66999999999996</v>
      </c>
      <c r="K162" s="252">
        <v>269.88</v>
      </c>
      <c r="L162" s="252">
        <v>288.13</v>
      </c>
      <c r="M162" s="252">
        <v>215.35</v>
      </c>
      <c r="O162" s="245">
        <f t="shared" si="6"/>
        <v>3925.35</v>
      </c>
    </row>
    <row r="163" spans="1:15">
      <c r="A163" s="251" t="s">
        <v>534</v>
      </c>
      <c r="B163" s="252">
        <v>164.87</v>
      </c>
      <c r="C163" s="252">
        <v>158.27000000000001</v>
      </c>
      <c r="D163" s="252">
        <v>0</v>
      </c>
      <c r="E163" s="252">
        <v>153.41</v>
      </c>
      <c r="F163" s="252">
        <v>345.35</v>
      </c>
      <c r="G163" s="252">
        <v>176.06</v>
      </c>
      <c r="H163" s="252">
        <v>182.94</v>
      </c>
      <c r="I163" s="252">
        <v>183.61</v>
      </c>
      <c r="J163" s="252">
        <v>188.63</v>
      </c>
      <c r="K163" s="252">
        <v>178.36</v>
      </c>
      <c r="L163" s="252">
        <v>177.3</v>
      </c>
      <c r="M163" s="252">
        <v>196.31</v>
      </c>
      <c r="O163" s="245">
        <f t="shared" si="6"/>
        <v>2105.1100000000006</v>
      </c>
    </row>
    <row r="164" spans="1:15">
      <c r="A164" s="251" t="s">
        <v>535</v>
      </c>
      <c r="B164" s="252">
        <v>33.119999999999997</v>
      </c>
      <c r="C164" s="252">
        <v>31.96</v>
      </c>
      <c r="D164" s="252">
        <v>0</v>
      </c>
      <c r="E164" s="252">
        <v>31.18</v>
      </c>
      <c r="F164" s="252">
        <v>66.52</v>
      </c>
      <c r="G164" s="252">
        <v>35.020000000000003</v>
      </c>
      <c r="H164" s="252">
        <v>35.46</v>
      </c>
      <c r="I164" s="252">
        <v>42.15</v>
      </c>
      <c r="J164" s="252">
        <v>41.29</v>
      </c>
      <c r="K164" s="252">
        <v>39.99</v>
      </c>
      <c r="L164" s="252">
        <v>37.54</v>
      </c>
      <c r="M164" s="252">
        <v>37.03</v>
      </c>
      <c r="O164" s="245">
        <f t="shared" si="6"/>
        <v>431.26</v>
      </c>
    </row>
    <row r="165" spans="1:15">
      <c r="A165" s="251" t="s">
        <v>536</v>
      </c>
      <c r="B165" s="252">
        <v>0</v>
      </c>
      <c r="C165" s="252">
        <v>0</v>
      </c>
      <c r="D165" s="252">
        <v>0</v>
      </c>
      <c r="E165" s="252">
        <v>0</v>
      </c>
      <c r="F165" s="252">
        <v>0</v>
      </c>
      <c r="G165" s="252">
        <v>0</v>
      </c>
      <c r="H165" s="252">
        <v>0</v>
      </c>
      <c r="I165" s="252">
        <v>0</v>
      </c>
      <c r="J165" s="252">
        <v>0</v>
      </c>
      <c r="K165" s="252">
        <v>0</v>
      </c>
      <c r="L165" s="252">
        <v>55.65</v>
      </c>
      <c r="M165" s="252">
        <v>0</v>
      </c>
      <c r="O165" s="245">
        <f t="shared" si="6"/>
        <v>55.65</v>
      </c>
    </row>
    <row r="166" spans="1:15">
      <c r="A166" s="251" t="s">
        <v>537</v>
      </c>
      <c r="B166" s="252">
        <v>79.8</v>
      </c>
      <c r="C166" s="252">
        <v>216.69</v>
      </c>
      <c r="D166" s="252">
        <v>0</v>
      </c>
      <c r="E166" s="252">
        <v>0</v>
      </c>
      <c r="F166" s="252">
        <v>0</v>
      </c>
      <c r="G166" s="252">
        <v>0</v>
      </c>
      <c r="H166" s="252">
        <v>-48.18</v>
      </c>
      <c r="I166" s="252">
        <v>0</v>
      </c>
      <c r="J166" s="252">
        <v>0</v>
      </c>
      <c r="K166" s="252">
        <v>0</v>
      </c>
      <c r="L166" s="252">
        <v>-55.65</v>
      </c>
      <c r="M166" s="252">
        <v>48.18</v>
      </c>
      <c r="O166" s="245">
        <f t="shared" si="6"/>
        <v>240.84</v>
      </c>
    </row>
    <row r="167" spans="1:15">
      <c r="A167" s="251" t="s">
        <v>538</v>
      </c>
      <c r="B167" s="252">
        <v>0</v>
      </c>
      <c r="C167" s="252">
        <v>0</v>
      </c>
      <c r="D167" s="252">
        <v>420</v>
      </c>
      <c r="E167" s="252">
        <v>0</v>
      </c>
      <c r="F167" s="252">
        <v>0</v>
      </c>
      <c r="G167" s="252">
        <v>0</v>
      </c>
      <c r="H167" s="252">
        <v>0</v>
      </c>
      <c r="I167" s="252">
        <v>0</v>
      </c>
      <c r="J167" s="252">
        <v>0</v>
      </c>
      <c r="K167" s="252">
        <v>0</v>
      </c>
      <c r="L167" s="252">
        <v>0</v>
      </c>
      <c r="M167" s="252">
        <v>0</v>
      </c>
      <c r="O167" s="245">
        <f t="shared" si="6"/>
        <v>420</v>
      </c>
    </row>
    <row r="168" spans="1:15">
      <c r="A168" s="251" t="s">
        <v>539</v>
      </c>
      <c r="B168" s="252">
        <v>0</v>
      </c>
      <c r="C168" s="252">
        <v>0</v>
      </c>
      <c r="D168" s="252">
        <v>2250.58</v>
      </c>
      <c r="E168" s="252">
        <v>0</v>
      </c>
      <c r="F168" s="252">
        <v>0</v>
      </c>
      <c r="G168" s="252">
        <v>3100</v>
      </c>
      <c r="H168" s="252">
        <v>7108.67</v>
      </c>
      <c r="I168" s="252">
        <v>0</v>
      </c>
      <c r="J168" s="252">
        <v>0</v>
      </c>
      <c r="K168" s="252">
        <v>-6706.16</v>
      </c>
      <c r="L168" s="252">
        <v>0</v>
      </c>
      <c r="M168" s="252">
        <v>6706.16</v>
      </c>
      <c r="O168" s="245">
        <f t="shared" si="6"/>
        <v>12459.25</v>
      </c>
    </row>
    <row r="169" spans="1:15">
      <c r="A169" s="251" t="s">
        <v>540</v>
      </c>
      <c r="B169" s="252">
        <v>0</v>
      </c>
      <c r="C169" s="252">
        <v>18412.72</v>
      </c>
      <c r="D169" s="252">
        <v>0</v>
      </c>
      <c r="E169" s="252">
        <v>0</v>
      </c>
      <c r="F169" s="252">
        <v>20707.47</v>
      </c>
      <c r="G169" s="252">
        <v>-45832.7</v>
      </c>
      <c r="H169" s="252">
        <v>0</v>
      </c>
      <c r="I169" s="252">
        <v>0</v>
      </c>
      <c r="J169" s="252">
        <v>0</v>
      </c>
      <c r="K169" s="252">
        <v>0</v>
      </c>
      <c r="L169" s="252">
        <v>0</v>
      </c>
      <c r="M169" s="252">
        <v>37087.19</v>
      </c>
      <c r="O169" s="245">
        <f t="shared" si="6"/>
        <v>30374.680000000008</v>
      </c>
    </row>
    <row r="170" spans="1:15">
      <c r="A170" s="251" t="s">
        <v>541</v>
      </c>
      <c r="B170" s="252">
        <v>0</v>
      </c>
      <c r="C170" s="252">
        <v>0</v>
      </c>
      <c r="D170" s="252">
        <v>0</v>
      </c>
      <c r="E170" s="252">
        <v>0</v>
      </c>
      <c r="F170" s="252">
        <v>0</v>
      </c>
      <c r="G170" s="252">
        <v>0</v>
      </c>
      <c r="H170" s="252">
        <v>0</v>
      </c>
      <c r="I170" s="252">
        <v>1050</v>
      </c>
      <c r="J170" s="252">
        <v>0</v>
      </c>
      <c r="K170" s="252">
        <v>0</v>
      </c>
      <c r="L170" s="252">
        <v>0</v>
      </c>
      <c r="M170" s="252">
        <v>0</v>
      </c>
      <c r="O170" s="245">
        <f t="shared" si="6"/>
        <v>1050</v>
      </c>
    </row>
    <row r="171" spans="1:15">
      <c r="A171" s="251" t="s">
        <v>542</v>
      </c>
      <c r="B171" s="252">
        <v>0</v>
      </c>
      <c r="C171" s="252">
        <v>0</v>
      </c>
      <c r="D171" s="252">
        <v>0</v>
      </c>
      <c r="E171" s="252">
        <v>0</v>
      </c>
      <c r="F171" s="252">
        <v>0</v>
      </c>
      <c r="G171" s="252">
        <v>0</v>
      </c>
      <c r="H171" s="252">
        <v>0</v>
      </c>
      <c r="I171" s="252">
        <v>0</v>
      </c>
      <c r="J171" s="252">
        <v>0</v>
      </c>
      <c r="K171" s="252">
        <v>210</v>
      </c>
      <c r="L171" s="252">
        <v>0</v>
      </c>
      <c r="M171" s="252">
        <v>0</v>
      </c>
      <c r="O171" s="245">
        <f t="shared" si="6"/>
        <v>210</v>
      </c>
    </row>
    <row r="172" spans="1:15">
      <c r="A172" s="251" t="s">
        <v>543</v>
      </c>
      <c r="B172" s="252">
        <v>0</v>
      </c>
      <c r="C172" s="252">
        <v>0</v>
      </c>
      <c r="D172" s="252">
        <v>0</v>
      </c>
      <c r="E172" s="252">
        <v>0</v>
      </c>
      <c r="F172" s="252">
        <v>0</v>
      </c>
      <c r="G172" s="252">
        <v>0</v>
      </c>
      <c r="H172" s="252">
        <v>0</v>
      </c>
      <c r="I172" s="252">
        <v>0</v>
      </c>
      <c r="J172" s="252">
        <v>0</v>
      </c>
      <c r="K172" s="252">
        <v>420</v>
      </c>
      <c r="L172" s="252">
        <v>0</v>
      </c>
      <c r="M172" s="252">
        <v>0</v>
      </c>
      <c r="O172" s="245">
        <f t="shared" si="6"/>
        <v>420</v>
      </c>
    </row>
    <row r="173" spans="1:15">
      <c r="A173" s="251" t="s">
        <v>544</v>
      </c>
      <c r="B173" s="252">
        <v>0</v>
      </c>
      <c r="C173" s="252">
        <v>0</v>
      </c>
      <c r="D173" s="252">
        <v>0</v>
      </c>
      <c r="E173" s="252">
        <v>0</v>
      </c>
      <c r="F173" s="252">
        <v>0</v>
      </c>
      <c r="G173" s="252">
        <v>0</v>
      </c>
      <c r="H173" s="252">
        <v>578</v>
      </c>
      <c r="I173" s="252">
        <v>0</v>
      </c>
      <c r="J173" s="252">
        <v>0</v>
      </c>
      <c r="K173" s="252">
        <v>0</v>
      </c>
      <c r="L173" s="252">
        <v>0</v>
      </c>
      <c r="M173" s="252">
        <v>0</v>
      </c>
      <c r="O173" s="245">
        <f t="shared" si="6"/>
        <v>578</v>
      </c>
    </row>
    <row r="174" spans="1:15">
      <c r="A174" s="251" t="s">
        <v>545</v>
      </c>
      <c r="B174" s="252">
        <v>0</v>
      </c>
      <c r="C174" s="252">
        <v>0</v>
      </c>
      <c r="D174" s="252">
        <v>0</v>
      </c>
      <c r="E174" s="252">
        <v>0</v>
      </c>
      <c r="F174" s="252">
        <v>0</v>
      </c>
      <c r="G174" s="252">
        <v>0</v>
      </c>
      <c r="H174" s="252">
        <v>0</v>
      </c>
      <c r="I174" s="252">
        <v>0</v>
      </c>
      <c r="J174" s="252">
        <v>0</v>
      </c>
      <c r="K174" s="252">
        <v>840</v>
      </c>
      <c r="L174" s="252">
        <v>0</v>
      </c>
      <c r="M174" s="252">
        <v>0</v>
      </c>
      <c r="O174" s="245">
        <f t="shared" si="6"/>
        <v>840</v>
      </c>
    </row>
    <row r="175" spans="1:15">
      <c r="A175" s="251" t="s">
        <v>546</v>
      </c>
      <c r="B175" s="252">
        <v>0</v>
      </c>
      <c r="C175" s="252">
        <v>2100</v>
      </c>
      <c r="D175" s="252">
        <v>0</v>
      </c>
      <c r="E175" s="252">
        <v>0</v>
      </c>
      <c r="F175" s="252">
        <v>0</v>
      </c>
      <c r="G175" s="252">
        <v>0</v>
      </c>
      <c r="H175" s="252">
        <v>0</v>
      </c>
      <c r="I175" s="252">
        <v>0</v>
      </c>
      <c r="J175" s="252">
        <v>0</v>
      </c>
      <c r="K175" s="252">
        <v>0</v>
      </c>
      <c r="L175" s="252">
        <v>0</v>
      </c>
      <c r="M175" s="252">
        <v>0</v>
      </c>
      <c r="O175" s="245">
        <f t="shared" si="6"/>
        <v>2100</v>
      </c>
    </row>
    <row r="176" spans="1:15">
      <c r="A176" s="251" t="s">
        <v>547</v>
      </c>
      <c r="B176" s="252">
        <v>0</v>
      </c>
      <c r="C176" s="252">
        <v>0</v>
      </c>
      <c r="D176" s="252">
        <v>0</v>
      </c>
      <c r="E176" s="252">
        <v>0</v>
      </c>
      <c r="F176" s="252">
        <v>0</v>
      </c>
      <c r="G176" s="252">
        <v>0</v>
      </c>
      <c r="H176" s="252">
        <v>0</v>
      </c>
      <c r="I176" s="252">
        <v>0</v>
      </c>
      <c r="J176" s="252">
        <v>0</v>
      </c>
      <c r="K176" s="252">
        <v>504</v>
      </c>
      <c r="L176" s="252">
        <v>0</v>
      </c>
      <c r="M176" s="252">
        <v>0</v>
      </c>
      <c r="O176" s="245">
        <f t="shared" si="6"/>
        <v>504</v>
      </c>
    </row>
    <row r="177" spans="1:15">
      <c r="A177" s="251" t="s">
        <v>548</v>
      </c>
      <c r="B177" s="252">
        <v>0</v>
      </c>
      <c r="C177" s="252">
        <v>0</v>
      </c>
      <c r="D177" s="252">
        <v>0</v>
      </c>
      <c r="E177" s="252">
        <v>0</v>
      </c>
      <c r="F177" s="252">
        <v>0</v>
      </c>
      <c r="G177" s="252">
        <v>0</v>
      </c>
      <c r="H177" s="252">
        <v>0</v>
      </c>
      <c r="I177" s="252">
        <v>0</v>
      </c>
      <c r="J177" s="252">
        <v>0</v>
      </c>
      <c r="K177" s="252">
        <v>168</v>
      </c>
      <c r="L177" s="252">
        <v>0</v>
      </c>
      <c r="M177" s="252">
        <v>0</v>
      </c>
      <c r="O177" s="245">
        <f t="shared" si="6"/>
        <v>168</v>
      </c>
    </row>
    <row r="178" spans="1:15">
      <c r="A178" s="251" t="s">
        <v>549</v>
      </c>
      <c r="B178" s="252">
        <v>0</v>
      </c>
      <c r="C178" s="252">
        <v>0</v>
      </c>
      <c r="D178" s="252">
        <v>0</v>
      </c>
      <c r="E178" s="252">
        <v>0</v>
      </c>
      <c r="F178" s="252">
        <v>0</v>
      </c>
      <c r="G178" s="252">
        <v>0</v>
      </c>
      <c r="H178" s="252">
        <v>0</v>
      </c>
      <c r="I178" s="252">
        <v>0</v>
      </c>
      <c r="J178" s="252">
        <v>0</v>
      </c>
      <c r="K178" s="252">
        <v>0</v>
      </c>
      <c r="L178" s="252">
        <v>0</v>
      </c>
      <c r="M178" s="252">
        <v>0</v>
      </c>
      <c r="O178" s="245">
        <f t="shared" si="6"/>
        <v>0</v>
      </c>
    </row>
    <row r="179" spans="1:15">
      <c r="A179" s="251" t="s">
        <v>550</v>
      </c>
      <c r="B179" s="252">
        <v>0</v>
      </c>
      <c r="C179" s="252">
        <v>0</v>
      </c>
      <c r="D179" s="252">
        <v>0</v>
      </c>
      <c r="E179" s="252">
        <v>0</v>
      </c>
      <c r="F179" s="252">
        <v>0</v>
      </c>
      <c r="G179" s="252">
        <v>0</v>
      </c>
      <c r="H179" s="252">
        <v>0</v>
      </c>
      <c r="I179" s="252">
        <v>0</v>
      </c>
      <c r="J179" s="252">
        <v>0</v>
      </c>
      <c r="K179" s="252">
        <v>0</v>
      </c>
      <c r="L179" s="252">
        <v>210</v>
      </c>
      <c r="M179" s="252">
        <v>0</v>
      </c>
      <c r="O179" s="245">
        <f t="shared" si="6"/>
        <v>210</v>
      </c>
    </row>
    <row r="180" spans="1:15">
      <c r="A180" s="251" t="s">
        <v>551</v>
      </c>
      <c r="B180" s="252">
        <v>0</v>
      </c>
      <c r="C180" s="252">
        <v>0</v>
      </c>
      <c r="D180" s="252">
        <v>0</v>
      </c>
      <c r="E180" s="252">
        <v>0</v>
      </c>
      <c r="F180" s="252">
        <v>0</v>
      </c>
      <c r="G180" s="252">
        <v>0</v>
      </c>
      <c r="H180" s="252">
        <v>420</v>
      </c>
      <c r="I180" s="252">
        <v>0</v>
      </c>
      <c r="J180" s="252">
        <v>0</v>
      </c>
      <c r="K180" s="252">
        <v>0</v>
      </c>
      <c r="L180" s="252">
        <v>0</v>
      </c>
      <c r="M180" s="252">
        <v>0</v>
      </c>
      <c r="O180" s="245">
        <f t="shared" si="6"/>
        <v>420</v>
      </c>
    </row>
    <row r="181" spans="1:15">
      <c r="A181" s="251" t="s">
        <v>552</v>
      </c>
      <c r="B181" s="252">
        <v>29446.81</v>
      </c>
      <c r="C181" s="252">
        <v>29446.82</v>
      </c>
      <c r="D181" s="252">
        <v>0</v>
      </c>
      <c r="E181" s="252">
        <v>0</v>
      </c>
      <c r="F181" s="252">
        <v>-600.52</v>
      </c>
      <c r="G181" s="252">
        <v>30268.26</v>
      </c>
      <c r="H181" s="252">
        <v>0</v>
      </c>
      <c r="I181" s="252">
        <v>49444.45</v>
      </c>
      <c r="J181" s="252">
        <v>44735.45</v>
      </c>
      <c r="K181" s="252">
        <v>47089.95</v>
      </c>
      <c r="L181" s="252">
        <v>47089.95</v>
      </c>
      <c r="M181" s="252">
        <v>253352.9</v>
      </c>
      <c r="O181" s="245">
        <f t="shared" si="6"/>
        <v>530274.07000000007</v>
      </c>
    </row>
    <row r="182" spans="1:15">
      <c r="A182" s="251" t="s">
        <v>553</v>
      </c>
      <c r="B182" s="252">
        <v>0</v>
      </c>
      <c r="C182" s="252">
        <v>0</v>
      </c>
      <c r="D182" s="252">
        <v>6454.56</v>
      </c>
      <c r="E182" s="252">
        <v>0</v>
      </c>
      <c r="F182" s="252">
        <v>5336</v>
      </c>
      <c r="G182" s="252">
        <v>3726.92</v>
      </c>
      <c r="H182" s="252">
        <v>6667.25</v>
      </c>
      <c r="I182" s="252">
        <v>0</v>
      </c>
      <c r="J182" s="252">
        <v>16245.03</v>
      </c>
      <c r="K182" s="252">
        <v>0</v>
      </c>
      <c r="L182" s="252">
        <v>0</v>
      </c>
      <c r="M182" s="252">
        <v>-18010.77</v>
      </c>
      <c r="O182" s="245">
        <f t="shared" si="6"/>
        <v>20418.990000000002</v>
      </c>
    </row>
    <row r="183" spans="1:15">
      <c r="A183" s="251" t="s">
        <v>554</v>
      </c>
      <c r="B183" s="252">
        <v>65.819999999999993</v>
      </c>
      <c r="C183" s="252">
        <v>65.37</v>
      </c>
      <c r="D183" s="252">
        <v>0</v>
      </c>
      <c r="E183" s="252">
        <v>66.38</v>
      </c>
      <c r="F183" s="252">
        <v>171.5</v>
      </c>
      <c r="G183" s="252">
        <v>75.45</v>
      </c>
      <c r="H183" s="252">
        <v>70.75</v>
      </c>
      <c r="I183" s="252">
        <v>74.739999999999995</v>
      </c>
      <c r="J183" s="252">
        <v>73.17</v>
      </c>
      <c r="K183" s="252">
        <v>71.92</v>
      </c>
      <c r="L183" s="252">
        <v>80.67</v>
      </c>
      <c r="M183" s="252">
        <v>72.849999999999994</v>
      </c>
      <c r="O183" s="245">
        <f t="shared" ref="O183:O214" si="7">SUM(B183:M183)</f>
        <v>888.61999999999989</v>
      </c>
    </row>
    <row r="184" spans="1:15">
      <c r="A184" s="251" t="s">
        <v>555</v>
      </c>
      <c r="B184" s="252">
        <v>43.7</v>
      </c>
      <c r="C184" s="252">
        <v>56.67</v>
      </c>
      <c r="D184" s="252">
        <v>0</v>
      </c>
      <c r="E184" s="252">
        <v>46.55</v>
      </c>
      <c r="F184" s="252">
        <v>123.53</v>
      </c>
      <c r="G184" s="252">
        <v>54.4</v>
      </c>
      <c r="H184" s="252">
        <v>61.27</v>
      </c>
      <c r="I184" s="252">
        <v>109.55</v>
      </c>
      <c r="J184" s="252">
        <v>75.72</v>
      </c>
      <c r="K184" s="252">
        <v>71.8</v>
      </c>
      <c r="L184" s="252">
        <v>60.51</v>
      </c>
      <c r="M184" s="252">
        <v>18.850000000000001</v>
      </c>
      <c r="O184" s="245">
        <f t="shared" si="7"/>
        <v>722.55</v>
      </c>
    </row>
    <row r="185" spans="1:15">
      <c r="A185" s="251" t="s">
        <v>556</v>
      </c>
      <c r="B185" s="252">
        <v>113.45</v>
      </c>
      <c r="C185" s="252">
        <v>111.62</v>
      </c>
      <c r="D185" s="252">
        <v>0</v>
      </c>
      <c r="E185" s="252">
        <v>111.13</v>
      </c>
      <c r="F185" s="252">
        <v>239.58</v>
      </c>
      <c r="G185" s="252">
        <v>110.27</v>
      </c>
      <c r="H185" s="252">
        <v>118.91</v>
      </c>
      <c r="I185" s="252">
        <v>131.91</v>
      </c>
      <c r="J185" s="252">
        <v>120.7</v>
      </c>
      <c r="K185" s="252">
        <v>124.03</v>
      </c>
      <c r="L185" s="252">
        <v>118.37</v>
      </c>
      <c r="M185" s="252">
        <v>123.95</v>
      </c>
      <c r="O185" s="245">
        <f t="shared" si="7"/>
        <v>1423.9199999999998</v>
      </c>
    </row>
    <row r="186" spans="1:15" ht="12" customHeight="1">
      <c r="A186" s="251" t="s">
        <v>966</v>
      </c>
      <c r="B186" s="252">
        <v>-79.8</v>
      </c>
      <c r="C186" s="252">
        <v>0</v>
      </c>
      <c r="D186" s="252">
        <v>0</v>
      </c>
      <c r="E186" s="252">
        <v>0</v>
      </c>
      <c r="F186" s="252">
        <v>0</v>
      </c>
      <c r="G186" s="252">
        <v>0</v>
      </c>
      <c r="H186" s="252">
        <v>0</v>
      </c>
      <c r="I186" s="252">
        <v>0</v>
      </c>
      <c r="J186" s="252">
        <v>0</v>
      </c>
      <c r="K186" s="252">
        <v>0</v>
      </c>
      <c r="L186" s="252">
        <v>0</v>
      </c>
      <c r="M186" s="252">
        <v>-46.18</v>
      </c>
      <c r="O186" s="245">
        <f t="shared" si="7"/>
        <v>-125.97999999999999</v>
      </c>
    </row>
    <row r="187" spans="1:15" ht="12" customHeight="1">
      <c r="A187" s="251" t="s">
        <v>557</v>
      </c>
      <c r="B187" s="252">
        <v>21717.73</v>
      </c>
      <c r="C187" s="252">
        <v>16275.75</v>
      </c>
      <c r="D187" s="252">
        <v>16414.62</v>
      </c>
      <c r="E187" s="252">
        <v>5224.3500000000004</v>
      </c>
      <c r="F187" s="252">
        <v>27734</v>
      </c>
      <c r="G187" s="252">
        <v>16424.75</v>
      </c>
      <c r="H187" s="252">
        <v>16186.17</v>
      </c>
      <c r="I187" s="252">
        <v>15730.54</v>
      </c>
      <c r="J187" s="252">
        <v>4401.01</v>
      </c>
      <c r="K187" s="252">
        <v>24953.5</v>
      </c>
      <c r="L187" s="252">
        <v>15023.96</v>
      </c>
      <c r="M187" s="252">
        <v>7806.06</v>
      </c>
      <c r="O187" s="245">
        <f t="shared" si="7"/>
        <v>187892.43999999997</v>
      </c>
    </row>
    <row r="188" spans="1:15" ht="12" customHeight="1">
      <c r="A188" s="251" t="s">
        <v>558</v>
      </c>
      <c r="B188" s="252">
        <v>11036.37</v>
      </c>
      <c r="C188" s="252">
        <v>10912.39</v>
      </c>
      <c r="D188" s="252">
        <v>9279.61</v>
      </c>
      <c r="E188" s="252">
        <v>8648.31</v>
      </c>
      <c r="F188" s="252">
        <v>8336.39</v>
      </c>
      <c r="G188" s="252">
        <v>9801.81</v>
      </c>
      <c r="H188" s="252">
        <v>9339.75</v>
      </c>
      <c r="I188" s="252">
        <v>8750.81</v>
      </c>
      <c r="J188" s="252">
        <v>9422.0300000000007</v>
      </c>
      <c r="K188" s="252">
        <v>9356.3700000000008</v>
      </c>
      <c r="L188" s="252">
        <v>11406.24</v>
      </c>
      <c r="M188" s="252">
        <v>311802.52</v>
      </c>
      <c r="O188" s="245">
        <f t="shared" si="7"/>
        <v>418092.60000000003</v>
      </c>
    </row>
    <row r="189" spans="1:15" ht="12" customHeight="1">
      <c r="A189" s="251" t="s">
        <v>559</v>
      </c>
      <c r="B189" s="252">
        <v>51833.78</v>
      </c>
      <c r="C189" s="252">
        <v>62311.45</v>
      </c>
      <c r="D189" s="252">
        <v>32804.120000000003</v>
      </c>
      <c r="E189" s="252">
        <v>51029.08</v>
      </c>
      <c r="F189" s="252">
        <v>54224.39</v>
      </c>
      <c r="G189" s="252">
        <v>46783.59</v>
      </c>
      <c r="H189" s="252">
        <v>80328.33</v>
      </c>
      <c r="I189" s="252">
        <v>31136.15</v>
      </c>
      <c r="J189" s="252">
        <v>76112.259999999995</v>
      </c>
      <c r="K189" s="252">
        <v>53127.17</v>
      </c>
      <c r="L189" s="252">
        <v>58998.239999999998</v>
      </c>
      <c r="M189" s="252">
        <v>-473484.2</v>
      </c>
      <c r="O189" s="245">
        <f t="shared" si="7"/>
        <v>125204.36000000004</v>
      </c>
    </row>
    <row r="190" spans="1:15">
      <c r="A190" s="251" t="s">
        <v>560</v>
      </c>
      <c r="B190" s="252">
        <v>12694.97</v>
      </c>
      <c r="C190" s="252">
        <v>18372.97</v>
      </c>
      <c r="D190" s="252">
        <v>15400.5</v>
      </c>
      <c r="E190" s="252">
        <v>9114.66</v>
      </c>
      <c r="F190" s="252">
        <v>19435.37</v>
      </c>
      <c r="G190" s="252">
        <v>15944.59</v>
      </c>
      <c r="H190" s="252">
        <v>19277.38</v>
      </c>
      <c r="I190" s="252">
        <v>5203.55</v>
      </c>
      <c r="J190" s="252">
        <v>14919.74</v>
      </c>
      <c r="K190" s="252">
        <v>16285.69</v>
      </c>
      <c r="L190" s="252">
        <v>18213.41</v>
      </c>
      <c r="M190" s="252">
        <v>17936.87</v>
      </c>
      <c r="O190" s="245">
        <f t="shared" si="7"/>
        <v>182799.7</v>
      </c>
    </row>
    <row r="191" spans="1:15">
      <c r="A191" s="251" t="s">
        <v>561</v>
      </c>
      <c r="B191" s="252">
        <v>4907.46</v>
      </c>
      <c r="C191" s="252">
        <v>772</v>
      </c>
      <c r="D191" s="252">
        <v>1179.45</v>
      </c>
      <c r="E191" s="252">
        <v>1931.47</v>
      </c>
      <c r="F191" s="252">
        <v>1317.99</v>
      </c>
      <c r="G191" s="252">
        <v>472</v>
      </c>
      <c r="H191" s="252">
        <v>2811.52</v>
      </c>
      <c r="I191" s="252">
        <v>1582.5</v>
      </c>
      <c r="J191" s="252">
        <v>1126.23</v>
      </c>
      <c r="K191" s="252">
        <v>6129.68</v>
      </c>
      <c r="L191" s="252">
        <v>1519.13</v>
      </c>
      <c r="M191" s="252">
        <v>10231.48</v>
      </c>
      <c r="O191" s="245">
        <f t="shared" si="7"/>
        <v>33980.910000000003</v>
      </c>
    </row>
    <row r="192" spans="1:15">
      <c r="A192" s="251" t="s">
        <v>562</v>
      </c>
      <c r="B192" s="252">
        <v>0</v>
      </c>
      <c r="C192" s="252">
        <v>0</v>
      </c>
      <c r="D192" s="252">
        <v>0</v>
      </c>
      <c r="E192" s="252">
        <v>0</v>
      </c>
      <c r="F192" s="252">
        <v>0</v>
      </c>
      <c r="G192" s="252">
        <v>0</v>
      </c>
      <c r="H192" s="252">
        <v>0</v>
      </c>
      <c r="I192" s="252">
        <v>0</v>
      </c>
      <c r="J192" s="252">
        <v>0</v>
      </c>
      <c r="K192" s="252">
        <v>0</v>
      </c>
      <c r="L192" s="252">
        <v>901</v>
      </c>
      <c r="M192" s="252">
        <v>0</v>
      </c>
      <c r="O192" s="245">
        <f t="shared" si="7"/>
        <v>901</v>
      </c>
    </row>
    <row r="193" spans="1:15">
      <c r="A193" s="251" t="s">
        <v>563</v>
      </c>
      <c r="B193" s="252">
        <v>1673.4</v>
      </c>
      <c r="C193" s="252">
        <v>1673.4</v>
      </c>
      <c r="D193" s="252">
        <v>1673.4</v>
      </c>
      <c r="E193" s="252">
        <v>1673.4</v>
      </c>
      <c r="F193" s="252">
        <v>1673.4</v>
      </c>
      <c r="G193" s="252">
        <v>1673.4</v>
      </c>
      <c r="H193" s="252">
        <v>1673.4</v>
      </c>
      <c r="I193" s="252">
        <v>1673.4</v>
      </c>
      <c r="J193" s="252">
        <v>1686.41</v>
      </c>
      <c r="K193" s="252">
        <v>1673.4</v>
      </c>
      <c r="L193" s="252">
        <v>1673.4</v>
      </c>
      <c r="M193" s="252">
        <v>1673.4</v>
      </c>
      <c r="O193" s="245">
        <f t="shared" si="7"/>
        <v>20093.810000000001</v>
      </c>
    </row>
    <row r="194" spans="1:15">
      <c r="A194" s="251" t="s">
        <v>564</v>
      </c>
      <c r="B194" s="252">
        <v>284.66000000000003</v>
      </c>
      <c r="C194" s="252">
        <v>0</v>
      </c>
      <c r="D194" s="252">
        <v>665.19</v>
      </c>
      <c r="E194" s="252">
        <v>0</v>
      </c>
      <c r="F194" s="252">
        <v>135.58000000000001</v>
      </c>
      <c r="G194" s="252">
        <v>43.06</v>
      </c>
      <c r="H194" s="252">
        <v>38.56</v>
      </c>
      <c r="I194" s="252">
        <v>35.79</v>
      </c>
      <c r="J194" s="252">
        <v>35.840000000000003</v>
      </c>
      <c r="K194" s="252">
        <v>106.22</v>
      </c>
      <c r="L194" s="252">
        <v>291.27</v>
      </c>
      <c r="M194" s="252">
        <v>0</v>
      </c>
      <c r="O194" s="245">
        <f t="shared" si="7"/>
        <v>1636.1699999999998</v>
      </c>
    </row>
    <row r="195" spans="1:15">
      <c r="A195" s="251" t="s">
        <v>565</v>
      </c>
      <c r="B195" s="252">
        <v>5558.3</v>
      </c>
      <c r="C195" s="252">
        <v>4446.8100000000004</v>
      </c>
      <c r="D195" s="252">
        <v>4363.75</v>
      </c>
      <c r="E195" s="252">
        <v>3469.55</v>
      </c>
      <c r="F195" s="252">
        <v>4441.7</v>
      </c>
      <c r="G195" s="252">
        <v>2621.06</v>
      </c>
      <c r="H195" s="252">
        <v>3197.4</v>
      </c>
      <c r="I195" s="252">
        <v>2492.73</v>
      </c>
      <c r="J195" s="252">
        <v>2958.13</v>
      </c>
      <c r="K195" s="252">
        <v>2502.5700000000002</v>
      </c>
      <c r="L195" s="252">
        <v>3480.77</v>
      </c>
      <c r="M195" s="252">
        <v>3983.94</v>
      </c>
      <c r="O195" s="245">
        <f t="shared" si="7"/>
        <v>43516.71</v>
      </c>
    </row>
    <row r="196" spans="1:15">
      <c r="A196" s="251" t="s">
        <v>566</v>
      </c>
      <c r="B196" s="252">
        <v>1593</v>
      </c>
      <c r="C196" s="252">
        <v>175</v>
      </c>
      <c r="D196" s="252">
        <v>634</v>
      </c>
      <c r="E196" s="252">
        <v>175</v>
      </c>
      <c r="F196" s="252">
        <v>926.52</v>
      </c>
      <c r="G196" s="252">
        <v>175</v>
      </c>
      <c r="H196" s="252">
        <v>425</v>
      </c>
      <c r="I196" s="252">
        <v>400</v>
      </c>
      <c r="J196" s="252">
        <v>175</v>
      </c>
      <c r="K196" s="252">
        <v>175</v>
      </c>
      <c r="L196" s="252">
        <v>175</v>
      </c>
      <c r="M196" s="252">
        <v>175</v>
      </c>
      <c r="O196" s="245">
        <f t="shared" si="7"/>
        <v>5203.5200000000004</v>
      </c>
    </row>
    <row r="197" spans="1:15">
      <c r="A197" s="251" t="s">
        <v>567</v>
      </c>
      <c r="B197" s="252">
        <v>775</v>
      </c>
      <c r="C197" s="252">
        <v>4814.5200000000004</v>
      </c>
      <c r="D197" s="252">
        <v>1059.1400000000001</v>
      </c>
      <c r="E197" s="252">
        <v>1977</v>
      </c>
      <c r="F197" s="252">
        <v>1487.07</v>
      </c>
      <c r="G197" s="252">
        <v>1825.29</v>
      </c>
      <c r="H197" s="252">
        <v>2395.8200000000002</v>
      </c>
      <c r="I197" s="252">
        <v>1097</v>
      </c>
      <c r="J197" s="252">
        <v>3425</v>
      </c>
      <c r="K197" s="252">
        <v>710.82</v>
      </c>
      <c r="L197" s="252">
        <v>1711.97</v>
      </c>
      <c r="M197" s="252">
        <v>816.82</v>
      </c>
      <c r="O197" s="245">
        <f t="shared" si="7"/>
        <v>22095.45</v>
      </c>
    </row>
    <row r="198" spans="1:15">
      <c r="A198" s="251" t="s">
        <v>568</v>
      </c>
      <c r="B198" s="252">
        <v>7286.8</v>
      </c>
      <c r="C198" s="252">
        <v>20865.52</v>
      </c>
      <c r="D198" s="252">
        <v>1650</v>
      </c>
      <c r="E198" s="252">
        <v>14491.6</v>
      </c>
      <c r="F198" s="252">
        <v>195.5</v>
      </c>
      <c r="G198" s="252">
        <v>122</v>
      </c>
      <c r="H198" s="252">
        <v>522</v>
      </c>
      <c r="I198" s="252">
        <v>7414.17</v>
      </c>
      <c r="J198" s="252">
        <v>0</v>
      </c>
      <c r="K198" s="252">
        <v>1962.5</v>
      </c>
      <c r="L198" s="252">
        <v>2331.9</v>
      </c>
      <c r="M198" s="252">
        <v>0</v>
      </c>
      <c r="O198" s="245">
        <f t="shared" si="7"/>
        <v>56841.99</v>
      </c>
    </row>
    <row r="199" spans="1:15">
      <c r="A199" s="251" t="s">
        <v>569</v>
      </c>
      <c r="B199" s="252">
        <v>2805.01</v>
      </c>
      <c r="C199" s="252">
        <v>230</v>
      </c>
      <c r="D199" s="252">
        <v>0</v>
      </c>
      <c r="E199" s="252">
        <v>0</v>
      </c>
      <c r="F199" s="252">
        <v>1490.05</v>
      </c>
      <c r="G199" s="252">
        <v>1145</v>
      </c>
      <c r="H199" s="252">
        <v>1685.17</v>
      </c>
      <c r="I199" s="252">
        <v>72</v>
      </c>
      <c r="J199" s="252">
        <v>652</v>
      </c>
      <c r="K199" s="252">
        <v>1320.07</v>
      </c>
      <c r="L199" s="252">
        <v>0</v>
      </c>
      <c r="M199" s="252">
        <v>1010</v>
      </c>
      <c r="O199" s="245">
        <f t="shared" si="7"/>
        <v>10409.300000000001</v>
      </c>
    </row>
    <row r="200" spans="1:15">
      <c r="A200" s="251" t="s">
        <v>570</v>
      </c>
      <c r="B200" s="252">
        <v>0</v>
      </c>
      <c r="C200" s="252">
        <v>1720</v>
      </c>
      <c r="D200" s="252">
        <v>2000</v>
      </c>
      <c r="E200" s="252">
        <v>1720</v>
      </c>
      <c r="F200" s="252">
        <v>1720</v>
      </c>
      <c r="G200" s="252">
        <v>5195</v>
      </c>
      <c r="H200" s="252">
        <v>0</v>
      </c>
      <c r="I200" s="252">
        <v>3790</v>
      </c>
      <c r="J200" s="252">
        <v>1720</v>
      </c>
      <c r="K200" s="252">
        <v>201.37</v>
      </c>
      <c r="L200" s="252">
        <v>0</v>
      </c>
      <c r="M200" s="252">
        <v>5160</v>
      </c>
      <c r="O200" s="245">
        <f t="shared" si="7"/>
        <v>23226.37</v>
      </c>
    </row>
    <row r="201" spans="1:15">
      <c r="A201" s="251" t="s">
        <v>571</v>
      </c>
      <c r="B201" s="252">
        <v>410</v>
      </c>
      <c r="C201" s="252">
        <v>0</v>
      </c>
      <c r="D201" s="252">
        <v>6625</v>
      </c>
      <c r="E201" s="252">
        <v>0</v>
      </c>
      <c r="F201" s="252">
        <v>0</v>
      </c>
      <c r="G201" s="252">
        <v>0</v>
      </c>
      <c r="H201" s="252">
        <v>500</v>
      </c>
      <c r="I201" s="252">
        <v>0</v>
      </c>
      <c r="J201" s="252">
        <v>0</v>
      </c>
      <c r="K201" s="252">
        <v>0</v>
      </c>
      <c r="L201" s="252">
        <v>0</v>
      </c>
      <c r="M201" s="252">
        <v>0</v>
      </c>
      <c r="O201" s="245">
        <f t="shared" si="7"/>
        <v>7535</v>
      </c>
    </row>
    <row r="202" spans="1:15">
      <c r="A202" s="251" t="s">
        <v>572</v>
      </c>
      <c r="B202" s="252">
        <v>1195.57</v>
      </c>
      <c r="C202" s="252">
        <v>300.44</v>
      </c>
      <c r="D202" s="252">
        <v>227.71</v>
      </c>
      <c r="E202" s="252">
        <v>1255.95</v>
      </c>
      <c r="F202" s="252">
        <v>1312.21</v>
      </c>
      <c r="G202" s="252">
        <v>297.64</v>
      </c>
      <c r="H202" s="252">
        <v>286.27999999999997</v>
      </c>
      <c r="I202" s="252">
        <v>582.12</v>
      </c>
      <c r="J202" s="252">
        <v>900.94</v>
      </c>
      <c r="K202" s="252">
        <v>1388.86</v>
      </c>
      <c r="L202" s="252">
        <v>931.14</v>
      </c>
      <c r="M202" s="252">
        <v>991.45</v>
      </c>
      <c r="O202" s="245">
        <f t="shared" si="7"/>
        <v>9670.3100000000013</v>
      </c>
    </row>
    <row r="203" spans="1:15">
      <c r="A203" s="251" t="s">
        <v>573</v>
      </c>
      <c r="B203" s="252">
        <v>68.010000000000005</v>
      </c>
      <c r="C203" s="252">
        <v>134.83000000000001</v>
      </c>
      <c r="D203" s="252">
        <v>0</v>
      </c>
      <c r="E203" s="252">
        <v>198.38</v>
      </c>
      <c r="F203" s="252">
        <v>85.05</v>
      </c>
      <c r="G203" s="252">
        <v>31.42</v>
      </c>
      <c r="H203" s="252">
        <v>114.67</v>
      </c>
      <c r="I203" s="252">
        <v>352.74</v>
      </c>
      <c r="J203" s="252">
        <v>0</v>
      </c>
      <c r="K203" s="252">
        <v>60.16</v>
      </c>
      <c r="L203" s="252">
        <v>0</v>
      </c>
      <c r="M203" s="252">
        <v>0</v>
      </c>
      <c r="O203" s="245">
        <f t="shared" si="7"/>
        <v>1045.26</v>
      </c>
    </row>
    <row r="204" spans="1:15">
      <c r="A204" s="251" t="s">
        <v>574</v>
      </c>
      <c r="B204" s="252">
        <v>77621.86</v>
      </c>
      <c r="C204" s="252">
        <v>0</v>
      </c>
      <c r="D204" s="252">
        <v>0</v>
      </c>
      <c r="E204" s="252">
        <v>0</v>
      </c>
      <c r="F204" s="252">
        <v>0</v>
      </c>
      <c r="G204" s="252">
        <v>0</v>
      </c>
      <c r="H204" s="252">
        <v>0</v>
      </c>
      <c r="I204" s="252">
        <v>0</v>
      </c>
      <c r="J204" s="252">
        <v>0</v>
      </c>
      <c r="K204" s="252">
        <v>0</v>
      </c>
      <c r="L204" s="252">
        <v>0</v>
      </c>
      <c r="M204" s="252">
        <v>-77621.86</v>
      </c>
      <c r="O204" s="245">
        <f t="shared" si="7"/>
        <v>0</v>
      </c>
    </row>
    <row r="205" spans="1:15">
      <c r="A205" s="251" t="s">
        <v>575</v>
      </c>
      <c r="B205" s="252">
        <v>-132.5</v>
      </c>
      <c r="C205" s="252">
        <v>-204.87</v>
      </c>
      <c r="D205" s="252">
        <v>-150.71</v>
      </c>
      <c r="E205" s="252">
        <v>-69.66</v>
      </c>
      <c r="F205" s="252">
        <v>0</v>
      </c>
      <c r="G205" s="252">
        <v>-403.08</v>
      </c>
      <c r="H205" s="252">
        <v>-101.33</v>
      </c>
      <c r="I205" s="252">
        <v>0</v>
      </c>
      <c r="J205" s="252">
        <v>-41.12</v>
      </c>
      <c r="K205" s="252">
        <v>-58.74</v>
      </c>
      <c r="L205" s="252">
        <v>-53.84</v>
      </c>
      <c r="M205" s="252">
        <v>-174.54</v>
      </c>
      <c r="O205" s="245">
        <f t="shared" si="7"/>
        <v>-1390.3899999999996</v>
      </c>
    </row>
    <row r="206" spans="1:15">
      <c r="A206" s="251" t="s">
        <v>576</v>
      </c>
      <c r="B206" s="252">
        <v>-63.87</v>
      </c>
      <c r="C206" s="252">
        <v>0</v>
      </c>
      <c r="D206" s="252">
        <v>-37.119999999999997</v>
      </c>
      <c r="E206" s="252">
        <v>0</v>
      </c>
      <c r="F206" s="252">
        <v>-37.450000000000003</v>
      </c>
      <c r="G206" s="252">
        <v>0</v>
      </c>
      <c r="H206" s="252">
        <v>-71.03</v>
      </c>
      <c r="I206" s="252">
        <v>0</v>
      </c>
      <c r="J206" s="252">
        <v>-50.79</v>
      </c>
      <c r="K206" s="252">
        <v>0</v>
      </c>
      <c r="L206" s="252">
        <v>0</v>
      </c>
      <c r="M206" s="252">
        <v>-5.8</v>
      </c>
      <c r="O206" s="245">
        <f t="shared" si="7"/>
        <v>-266.06</v>
      </c>
    </row>
    <row r="207" spans="1:15">
      <c r="A207" s="251" t="s">
        <v>577</v>
      </c>
      <c r="B207" s="252">
        <v>6566.04</v>
      </c>
      <c r="C207" s="252">
        <v>7020.72</v>
      </c>
      <c r="D207" s="252">
        <v>6518.93</v>
      </c>
      <c r="E207" s="252">
        <v>7553.86</v>
      </c>
      <c r="F207" s="252">
        <v>7500.32</v>
      </c>
      <c r="G207" s="252">
        <v>7545.44</v>
      </c>
      <c r="H207" s="252">
        <v>9112.41</v>
      </c>
      <c r="I207" s="252">
        <v>-857.61</v>
      </c>
      <c r="J207" s="252">
        <v>10912.88</v>
      </c>
      <c r="K207" s="252">
        <v>10044.75</v>
      </c>
      <c r="L207" s="252">
        <v>8904.65</v>
      </c>
      <c r="M207" s="252">
        <v>9139.0499999999993</v>
      </c>
      <c r="O207" s="245">
        <f t="shared" si="7"/>
        <v>89961.439999999988</v>
      </c>
    </row>
    <row r="208" spans="1:15">
      <c r="A208" s="251" t="s">
        <v>967</v>
      </c>
      <c r="B208" s="252">
        <v>0</v>
      </c>
      <c r="C208" s="252">
        <v>0</v>
      </c>
      <c r="D208" s="252">
        <v>0</v>
      </c>
      <c r="E208" s="252">
        <v>0</v>
      </c>
      <c r="F208" s="252">
        <v>32516.27</v>
      </c>
      <c r="G208" s="252">
        <v>0</v>
      </c>
      <c r="H208" s="252">
        <v>0</v>
      </c>
      <c r="I208" s="252">
        <v>0</v>
      </c>
      <c r="J208" s="252">
        <v>0</v>
      </c>
      <c r="K208" s="252">
        <v>0</v>
      </c>
      <c r="L208" s="252">
        <v>0</v>
      </c>
      <c r="M208" s="252">
        <v>0</v>
      </c>
      <c r="O208" s="245">
        <f t="shared" si="7"/>
        <v>32516.27</v>
      </c>
    </row>
    <row r="209" spans="1:16">
      <c r="A209" s="251" t="s">
        <v>578</v>
      </c>
      <c r="B209" s="252">
        <v>125</v>
      </c>
      <c r="C209" s="252">
        <v>0</v>
      </c>
      <c r="D209" s="252">
        <v>0</v>
      </c>
      <c r="E209" s="252">
        <v>0</v>
      </c>
      <c r="F209" s="252">
        <v>0</v>
      </c>
      <c r="G209" s="252">
        <v>250</v>
      </c>
      <c r="H209" s="252">
        <v>0</v>
      </c>
      <c r="I209" s="252">
        <v>0</v>
      </c>
      <c r="J209" s="252">
        <v>500</v>
      </c>
      <c r="K209" s="252">
        <v>0</v>
      </c>
      <c r="L209" s="252">
        <v>0</v>
      </c>
      <c r="M209" s="252">
        <v>0</v>
      </c>
      <c r="O209" s="245">
        <f t="shared" si="7"/>
        <v>875</v>
      </c>
    </row>
    <row r="210" spans="1:16">
      <c r="A210" s="251" t="s">
        <v>968</v>
      </c>
      <c r="B210" s="252">
        <v>0</v>
      </c>
      <c r="C210" s="252">
        <v>0</v>
      </c>
      <c r="D210" s="252">
        <v>1500</v>
      </c>
      <c r="E210" s="252">
        <v>0</v>
      </c>
      <c r="F210" s="252">
        <v>0</v>
      </c>
      <c r="G210" s="252">
        <v>0</v>
      </c>
      <c r="H210" s="252">
        <v>0</v>
      </c>
      <c r="I210" s="252">
        <v>0</v>
      </c>
      <c r="J210" s="252">
        <v>0</v>
      </c>
      <c r="K210" s="252">
        <v>250</v>
      </c>
      <c r="L210" s="252">
        <v>700</v>
      </c>
      <c r="M210" s="252">
        <v>0</v>
      </c>
      <c r="O210" s="245">
        <f t="shared" si="7"/>
        <v>2450</v>
      </c>
    </row>
    <row r="211" spans="1:16">
      <c r="A211" s="251" t="s">
        <v>983</v>
      </c>
      <c r="B211" s="252">
        <v>0</v>
      </c>
      <c r="C211" s="252">
        <v>0</v>
      </c>
      <c r="D211" s="252">
        <v>0</v>
      </c>
      <c r="E211" s="252">
        <v>0</v>
      </c>
      <c r="F211" s="252">
        <v>0</v>
      </c>
      <c r="G211" s="252">
        <v>0</v>
      </c>
      <c r="H211" s="252">
        <v>0</v>
      </c>
      <c r="I211" s="252">
        <v>0</v>
      </c>
      <c r="J211" s="252">
        <v>0</v>
      </c>
      <c r="K211" s="252">
        <v>0</v>
      </c>
      <c r="L211" s="252">
        <v>0</v>
      </c>
      <c r="M211" s="252">
        <v>205712.58</v>
      </c>
      <c r="O211" s="245">
        <f t="shared" si="7"/>
        <v>205712.58</v>
      </c>
    </row>
    <row r="212" spans="1:16">
      <c r="A212" s="251" t="s">
        <v>579</v>
      </c>
      <c r="B212" s="252">
        <v>0</v>
      </c>
      <c r="C212" s="252">
        <v>0</v>
      </c>
      <c r="D212" s="252">
        <v>0</v>
      </c>
      <c r="E212" s="252">
        <v>0</v>
      </c>
      <c r="F212" s="252">
        <v>-0.3</v>
      </c>
      <c r="G212" s="252">
        <v>0</v>
      </c>
      <c r="H212" s="252">
        <v>0</v>
      </c>
      <c r="I212" s="252">
        <v>0</v>
      </c>
      <c r="J212" s="252">
        <v>-0.5</v>
      </c>
      <c r="K212" s="252">
        <v>0</v>
      </c>
      <c r="L212" s="252">
        <v>0</v>
      </c>
      <c r="M212" s="252">
        <v>0.03</v>
      </c>
      <c r="O212" s="245">
        <f t="shared" si="7"/>
        <v>-0.77</v>
      </c>
    </row>
    <row r="213" spans="1:16">
      <c r="A213" s="251" t="s">
        <v>984</v>
      </c>
      <c r="B213" s="252">
        <v>0</v>
      </c>
      <c r="C213" s="252">
        <v>0</v>
      </c>
      <c r="D213" s="252">
        <v>0</v>
      </c>
      <c r="E213" s="252">
        <v>0</v>
      </c>
      <c r="F213" s="252">
        <v>0</v>
      </c>
      <c r="G213" s="252">
        <v>0</v>
      </c>
      <c r="H213" s="252">
        <v>0</v>
      </c>
      <c r="I213" s="252">
        <v>0</v>
      </c>
      <c r="J213" s="252">
        <v>0</v>
      </c>
      <c r="K213" s="252">
        <v>0</v>
      </c>
      <c r="L213" s="252">
        <v>0</v>
      </c>
      <c r="M213" s="252">
        <v>8936.41</v>
      </c>
      <c r="O213" s="245">
        <f t="shared" si="7"/>
        <v>8936.41</v>
      </c>
    </row>
    <row r="214" spans="1:16">
      <c r="A214" s="251" t="s">
        <v>985</v>
      </c>
      <c r="B214" s="252">
        <v>0</v>
      </c>
      <c r="C214" s="252">
        <v>0</v>
      </c>
      <c r="D214" s="252">
        <v>0</v>
      </c>
      <c r="E214" s="252">
        <v>0</v>
      </c>
      <c r="F214" s="252">
        <v>0</v>
      </c>
      <c r="G214" s="252">
        <v>0</v>
      </c>
      <c r="H214" s="252">
        <v>0</v>
      </c>
      <c r="I214" s="252">
        <v>0</v>
      </c>
      <c r="J214" s="252">
        <v>0</v>
      </c>
      <c r="K214" s="252">
        <v>0</v>
      </c>
      <c r="L214" s="252">
        <v>0</v>
      </c>
      <c r="M214" s="252">
        <v>53535.37</v>
      </c>
      <c r="O214" s="245">
        <f t="shared" si="7"/>
        <v>53535.37</v>
      </c>
    </row>
    <row r="215" spans="1:16">
      <c r="A215" s="251"/>
      <c r="B215" s="265"/>
      <c r="C215" s="265"/>
      <c r="D215" s="265"/>
      <c r="E215" s="265"/>
      <c r="F215" s="265"/>
      <c r="G215" s="265"/>
      <c r="H215" s="265"/>
      <c r="I215" s="265"/>
      <c r="J215" s="265"/>
      <c r="K215" s="265"/>
      <c r="L215" s="265"/>
      <c r="M215" s="265"/>
      <c r="N215" s="266"/>
      <c r="O215" s="266"/>
    </row>
    <row r="216" spans="1:16">
      <c r="A216" s="250" t="s">
        <v>13</v>
      </c>
      <c r="B216" s="260">
        <f t="shared" ref="B216:O216" si="8">ROUND(SUBTOTAL(9, B108:B214), 5)</f>
        <v>1018532.87</v>
      </c>
      <c r="C216" s="260">
        <f t="shared" si="8"/>
        <v>842811.68</v>
      </c>
      <c r="D216" s="260">
        <f t="shared" si="8"/>
        <v>995066.33</v>
      </c>
      <c r="E216" s="260">
        <f t="shared" si="8"/>
        <v>880486.44</v>
      </c>
      <c r="F216" s="260">
        <f t="shared" si="8"/>
        <v>1124710.1200000001</v>
      </c>
      <c r="G216" s="260">
        <f t="shared" si="8"/>
        <v>887562.97</v>
      </c>
      <c r="H216" s="260">
        <f t="shared" si="8"/>
        <v>920612.04</v>
      </c>
      <c r="I216" s="260">
        <f t="shared" si="8"/>
        <v>1038665.18</v>
      </c>
      <c r="J216" s="260">
        <f t="shared" si="8"/>
        <v>1018596.49</v>
      </c>
      <c r="K216" s="260">
        <f t="shared" si="8"/>
        <v>1123006.03</v>
      </c>
      <c r="L216" s="260">
        <f t="shared" si="8"/>
        <v>1057389.29</v>
      </c>
      <c r="M216" s="260">
        <f t="shared" si="8"/>
        <v>2244348.5</v>
      </c>
      <c r="N216" s="260">
        <f t="shared" si="8"/>
        <v>0</v>
      </c>
      <c r="O216" s="260">
        <f t="shared" si="8"/>
        <v>13151787.939999999</v>
      </c>
    </row>
    <row r="217" spans="1:16">
      <c r="A217" s="251"/>
      <c r="B217" s="252"/>
      <c r="C217" s="252"/>
      <c r="D217" s="252"/>
      <c r="E217" s="252"/>
      <c r="F217" s="252"/>
      <c r="G217" s="252"/>
      <c r="H217" s="252"/>
      <c r="I217" s="252"/>
      <c r="J217" s="252"/>
      <c r="K217" s="252"/>
      <c r="L217" s="252"/>
      <c r="M217" s="252"/>
    </row>
    <row r="218" spans="1:16" ht="13.5" thickBot="1">
      <c r="A218" s="250" t="s">
        <v>101</v>
      </c>
      <c r="B218" s="261">
        <f t="shared" ref="B218:M218" si="9">+B105-B216</f>
        <v>20535.510000000009</v>
      </c>
      <c r="C218" s="261">
        <f t="shared" si="9"/>
        <v>83958.320000000182</v>
      </c>
      <c r="D218" s="261">
        <f t="shared" si="9"/>
        <v>17079.120000000228</v>
      </c>
      <c r="E218" s="261">
        <f t="shared" si="9"/>
        <v>287951.11999999988</v>
      </c>
      <c r="F218" s="261">
        <f t="shared" si="9"/>
        <v>55363.009999999776</v>
      </c>
      <c r="G218" s="261">
        <f t="shared" si="9"/>
        <v>278414.40999999968</v>
      </c>
      <c r="H218" s="261">
        <f t="shared" si="9"/>
        <v>245616.66999999969</v>
      </c>
      <c r="I218" s="261">
        <f t="shared" si="9"/>
        <v>151474.24000000011</v>
      </c>
      <c r="J218" s="261">
        <f t="shared" si="9"/>
        <v>203742.88000000035</v>
      </c>
      <c r="K218" s="261">
        <f t="shared" si="9"/>
        <v>54510.3199999996</v>
      </c>
      <c r="L218" s="261">
        <f t="shared" si="9"/>
        <v>117808.4300000004</v>
      </c>
      <c r="M218" s="261">
        <f t="shared" si="9"/>
        <v>-831365.60000000009</v>
      </c>
      <c r="N218" s="261"/>
      <c r="O218" s="261">
        <f>+O105-O216</f>
        <v>685088.43000000529</v>
      </c>
      <c r="P218" s="246" t="s">
        <v>748</v>
      </c>
    </row>
    <row r="219" spans="1:16" ht="13.5" thickTop="1">
      <c r="A219" s="251"/>
      <c r="B219" s="252"/>
      <c r="C219" s="252"/>
      <c r="D219" s="252"/>
      <c r="E219" s="252"/>
      <c r="F219" s="252"/>
      <c r="G219" s="252"/>
      <c r="H219" s="252"/>
      <c r="I219" s="252"/>
      <c r="J219" s="252"/>
      <c r="K219" s="252"/>
      <c r="L219" s="252"/>
      <c r="M219" s="252"/>
    </row>
    <row r="220" spans="1:16">
      <c r="A220" s="251"/>
      <c r="B220" s="252"/>
      <c r="C220" s="252"/>
      <c r="D220" s="252"/>
      <c r="E220" s="252"/>
      <c r="F220" s="252"/>
      <c r="G220" s="252"/>
      <c r="H220" s="252"/>
      <c r="I220" s="252"/>
      <c r="J220" s="252"/>
      <c r="K220" s="252"/>
      <c r="L220" s="252"/>
      <c r="M220" s="252"/>
    </row>
    <row r="221" spans="1:16">
      <c r="A221" s="251"/>
      <c r="B221" s="252"/>
      <c r="C221" s="252"/>
      <c r="D221" s="252"/>
      <c r="E221" s="252"/>
      <c r="F221" s="252"/>
      <c r="G221" s="252"/>
      <c r="H221" s="252"/>
      <c r="I221" s="252"/>
      <c r="J221" s="252"/>
      <c r="K221" s="252"/>
      <c r="L221" s="252"/>
      <c r="M221" s="252"/>
    </row>
    <row r="222" spans="1:16">
      <c r="A222" s="251"/>
      <c r="B222" s="252"/>
      <c r="C222" s="252"/>
      <c r="D222" s="252"/>
      <c r="E222" s="252"/>
      <c r="F222" s="252"/>
      <c r="G222" s="252"/>
      <c r="H222" s="252"/>
      <c r="I222" s="252"/>
      <c r="J222" s="252"/>
      <c r="K222" s="252"/>
      <c r="L222" s="252"/>
      <c r="M222" s="252"/>
    </row>
    <row r="223" spans="1:16">
      <c r="A223" s="251"/>
      <c r="B223" s="252"/>
      <c r="C223" s="252"/>
      <c r="D223" s="252"/>
      <c r="E223" s="252"/>
      <c r="F223" s="252"/>
      <c r="G223" s="252"/>
      <c r="H223" s="252"/>
      <c r="I223" s="252"/>
      <c r="J223" s="252"/>
      <c r="K223" s="252"/>
      <c r="L223" s="252"/>
      <c r="M223" s="252"/>
    </row>
    <row r="224" spans="1:16">
      <c r="A224" s="251"/>
      <c r="B224" s="252"/>
      <c r="C224" s="252"/>
      <c r="D224" s="252"/>
      <c r="E224" s="252"/>
      <c r="F224" s="252"/>
      <c r="G224" s="252"/>
      <c r="H224" s="252"/>
      <c r="I224" s="252"/>
      <c r="J224" s="252"/>
      <c r="K224" s="252"/>
      <c r="L224" s="252"/>
      <c r="M224" s="252"/>
    </row>
    <row r="225" spans="1:13">
      <c r="A225" s="251"/>
      <c r="B225" s="252"/>
      <c r="C225" s="252"/>
      <c r="D225" s="252"/>
      <c r="E225" s="252"/>
      <c r="F225" s="252"/>
      <c r="G225" s="252"/>
      <c r="H225" s="252"/>
      <c r="I225" s="252"/>
      <c r="J225" s="252"/>
      <c r="K225" s="252"/>
      <c r="L225" s="252"/>
      <c r="M225" s="252"/>
    </row>
    <row r="226" spans="1:13">
      <c r="A226" s="251"/>
      <c r="B226" s="252"/>
      <c r="C226" s="252"/>
      <c r="D226" s="252"/>
      <c r="E226" s="252"/>
      <c r="F226" s="252"/>
      <c r="G226" s="252"/>
      <c r="H226" s="252"/>
      <c r="I226" s="252"/>
      <c r="J226" s="252"/>
      <c r="K226" s="252"/>
      <c r="L226" s="252"/>
      <c r="M226" s="252"/>
    </row>
    <row r="227" spans="1:13">
      <c r="A227" s="251"/>
      <c r="B227" s="252"/>
      <c r="C227" s="252"/>
      <c r="D227" s="252"/>
      <c r="E227" s="252"/>
      <c r="F227" s="252"/>
      <c r="G227" s="252"/>
      <c r="H227" s="252"/>
      <c r="I227" s="252"/>
      <c r="J227" s="252"/>
      <c r="K227" s="252"/>
      <c r="L227" s="252"/>
      <c r="M227" s="252"/>
    </row>
    <row r="228" spans="1:13">
      <c r="A228" s="251"/>
      <c r="B228" s="252"/>
      <c r="C228" s="252"/>
      <c r="D228" s="252"/>
      <c r="E228" s="252"/>
      <c r="F228" s="252"/>
      <c r="G228" s="252"/>
      <c r="H228" s="252"/>
      <c r="I228" s="252"/>
      <c r="J228" s="252"/>
      <c r="K228" s="252"/>
      <c r="L228" s="252"/>
      <c r="M228" s="252"/>
    </row>
    <row r="229" spans="1:13">
      <c r="A229" s="251"/>
      <c r="B229" s="252"/>
      <c r="C229" s="252"/>
      <c r="D229" s="252"/>
      <c r="E229" s="252"/>
      <c r="F229" s="252"/>
      <c r="G229" s="252"/>
      <c r="H229" s="252"/>
      <c r="I229" s="252"/>
      <c r="J229" s="252"/>
      <c r="K229" s="252"/>
      <c r="L229" s="252"/>
      <c r="M229" s="252"/>
    </row>
    <row r="230" spans="1:13">
      <c r="A230" s="251"/>
      <c r="B230" s="252"/>
      <c r="C230" s="252"/>
      <c r="D230" s="252"/>
      <c r="E230" s="252"/>
      <c r="F230" s="252"/>
      <c r="G230" s="252"/>
      <c r="H230" s="252"/>
      <c r="I230" s="252"/>
      <c r="J230" s="252"/>
      <c r="K230" s="252"/>
      <c r="L230" s="252"/>
      <c r="M230" s="252"/>
    </row>
    <row r="231" spans="1:13">
      <c r="A231" s="251"/>
      <c r="B231" s="252"/>
      <c r="C231" s="252"/>
      <c r="D231" s="252"/>
      <c r="E231" s="252"/>
      <c r="F231" s="252"/>
      <c r="G231" s="252"/>
      <c r="H231" s="252"/>
      <c r="I231" s="252"/>
      <c r="J231" s="252"/>
      <c r="K231" s="252"/>
      <c r="L231" s="252"/>
      <c r="M231" s="252"/>
    </row>
    <row r="232" spans="1:13">
      <c r="A232" s="251"/>
      <c r="B232" s="252"/>
      <c r="C232" s="252"/>
      <c r="D232" s="252"/>
      <c r="E232" s="252"/>
      <c r="F232" s="252"/>
      <c r="G232" s="252"/>
      <c r="H232" s="252"/>
      <c r="I232" s="252"/>
      <c r="J232" s="252"/>
      <c r="K232" s="252"/>
      <c r="L232" s="252"/>
      <c r="M232" s="252"/>
    </row>
    <row r="233" spans="1:13">
      <c r="A233" s="251"/>
      <c r="B233" s="252"/>
      <c r="C233" s="252"/>
      <c r="D233" s="252"/>
      <c r="E233" s="252"/>
      <c r="F233" s="252"/>
      <c r="G233" s="252"/>
      <c r="H233" s="252"/>
      <c r="I233" s="252"/>
      <c r="J233" s="252"/>
      <c r="K233" s="252"/>
      <c r="L233" s="252"/>
      <c r="M233" s="252"/>
    </row>
    <row r="234" spans="1:13">
      <c r="A234" s="251"/>
      <c r="B234" s="252"/>
      <c r="C234" s="252"/>
      <c r="D234" s="252"/>
      <c r="E234" s="252"/>
      <c r="F234" s="252"/>
      <c r="G234" s="252"/>
      <c r="H234" s="252"/>
      <c r="I234" s="252"/>
      <c r="J234" s="252"/>
      <c r="K234" s="252"/>
      <c r="L234" s="252"/>
      <c r="M234" s="252"/>
    </row>
    <row r="235" spans="1:13">
      <c r="A235" s="251"/>
      <c r="B235" s="252"/>
      <c r="C235" s="252"/>
      <c r="D235" s="252"/>
      <c r="E235" s="252"/>
      <c r="F235" s="252"/>
      <c r="G235" s="252"/>
      <c r="H235" s="252"/>
      <c r="I235" s="252"/>
      <c r="J235" s="252"/>
      <c r="K235" s="252"/>
      <c r="L235" s="252"/>
      <c r="M235" s="252"/>
    </row>
    <row r="236" spans="1:13">
      <c r="A236" s="251"/>
      <c r="B236" s="252"/>
      <c r="C236" s="252"/>
      <c r="D236" s="252"/>
      <c r="E236" s="252"/>
      <c r="F236" s="252"/>
      <c r="G236" s="252"/>
      <c r="H236" s="252"/>
      <c r="I236" s="252"/>
      <c r="J236" s="252"/>
      <c r="K236" s="252"/>
      <c r="L236" s="252"/>
      <c r="M236" s="252"/>
    </row>
    <row r="237" spans="1:13">
      <c r="A237" s="251"/>
      <c r="B237" s="252"/>
      <c r="C237" s="252"/>
      <c r="D237" s="252"/>
      <c r="E237" s="252"/>
      <c r="F237" s="252"/>
      <c r="G237" s="252"/>
      <c r="H237" s="252"/>
      <c r="I237" s="252"/>
      <c r="J237" s="252"/>
      <c r="K237" s="252"/>
      <c r="L237" s="252"/>
      <c r="M237" s="252"/>
    </row>
    <row r="238" spans="1:13">
      <c r="A238" s="251"/>
      <c r="B238" s="252"/>
      <c r="C238" s="252"/>
      <c r="D238" s="252"/>
      <c r="E238" s="252"/>
      <c r="F238" s="252"/>
      <c r="G238" s="252"/>
      <c r="H238" s="252"/>
      <c r="I238" s="252"/>
      <c r="J238" s="252"/>
      <c r="K238" s="252"/>
      <c r="L238" s="252"/>
      <c r="M238" s="252"/>
    </row>
    <row r="239" spans="1:13">
      <c r="A239" s="251"/>
      <c r="B239" s="252"/>
      <c r="C239" s="252"/>
      <c r="D239" s="252"/>
      <c r="E239" s="252"/>
      <c r="F239" s="252"/>
      <c r="G239" s="252"/>
      <c r="H239" s="252"/>
      <c r="I239" s="252"/>
      <c r="J239" s="252"/>
      <c r="K239" s="252"/>
      <c r="L239" s="252"/>
      <c r="M239" s="252"/>
    </row>
    <row r="240" spans="1:13">
      <c r="A240" s="251"/>
      <c r="B240" s="252"/>
      <c r="C240" s="252"/>
      <c r="D240" s="252"/>
      <c r="E240" s="252"/>
      <c r="F240" s="252"/>
      <c r="G240" s="252"/>
      <c r="H240" s="252"/>
      <c r="I240" s="252"/>
      <c r="J240" s="252"/>
      <c r="K240" s="252"/>
      <c r="L240" s="252"/>
      <c r="M240" s="252"/>
    </row>
    <row r="241" spans="1:15">
      <c r="A241" s="251"/>
      <c r="B241" s="252"/>
      <c r="C241" s="252"/>
      <c r="D241" s="252"/>
      <c r="E241" s="252"/>
      <c r="F241" s="252"/>
      <c r="G241" s="252"/>
      <c r="H241" s="252"/>
      <c r="I241" s="252"/>
      <c r="J241" s="252"/>
      <c r="K241" s="252"/>
      <c r="L241" s="252"/>
      <c r="M241" s="252"/>
    </row>
    <row r="242" spans="1:15">
      <c r="A242" s="251"/>
      <c r="B242" s="252"/>
      <c r="C242" s="252"/>
      <c r="D242" s="252"/>
      <c r="E242" s="252"/>
      <c r="F242" s="252"/>
      <c r="G242" s="252"/>
      <c r="H242" s="252"/>
      <c r="I242" s="252"/>
      <c r="J242" s="252"/>
      <c r="K242" s="252"/>
      <c r="L242" s="252"/>
      <c r="M242" s="252"/>
    </row>
    <row r="243" spans="1:15">
      <c r="A243" s="251"/>
      <c r="B243" s="252"/>
      <c r="C243" s="252"/>
      <c r="D243" s="252"/>
      <c r="E243" s="252"/>
      <c r="F243" s="252"/>
      <c r="G243" s="252"/>
      <c r="H243" s="252"/>
      <c r="I243" s="252"/>
      <c r="J243" s="252"/>
      <c r="K243" s="252"/>
      <c r="L243" s="252"/>
      <c r="M243" s="252"/>
    </row>
    <row r="244" spans="1:15">
      <c r="O244" s="262"/>
    </row>
    <row r="245" spans="1:15">
      <c r="O245" s="262"/>
    </row>
    <row r="280" spans="1:16" s="255" customFormat="1">
      <c r="A280" s="246"/>
      <c r="B280" s="245"/>
      <c r="C280" s="245"/>
      <c r="D280" s="245"/>
      <c r="E280" s="245"/>
      <c r="F280" s="245"/>
      <c r="G280" s="245"/>
      <c r="H280" s="245"/>
      <c r="I280" s="245"/>
      <c r="J280" s="245"/>
      <c r="K280" s="245"/>
      <c r="L280" s="245"/>
      <c r="M280" s="245"/>
      <c r="N280" s="245"/>
      <c r="O280" s="245"/>
    </row>
    <row r="282" spans="1:16" s="255" customFormat="1">
      <c r="A282" s="246"/>
      <c r="B282" s="245"/>
      <c r="C282" s="245"/>
      <c r="D282" s="245"/>
      <c r="E282" s="245"/>
      <c r="F282" s="245"/>
      <c r="G282" s="245"/>
      <c r="H282" s="245"/>
      <c r="I282" s="245"/>
      <c r="J282" s="245"/>
      <c r="K282" s="245"/>
      <c r="L282" s="245"/>
      <c r="M282" s="245"/>
      <c r="N282" s="245"/>
      <c r="O282" s="245"/>
    </row>
    <row r="283" spans="1:16">
      <c r="P283" s="263"/>
    </row>
    <row r="285" spans="1:16">
      <c r="P285" s="264"/>
    </row>
    <row r="286" spans="1:16">
      <c r="P286" s="264"/>
    </row>
    <row r="287" spans="1:16">
      <c r="P287" s="264"/>
    </row>
    <row r="288" spans="1:16">
      <c r="P288" s="264"/>
    </row>
    <row r="289" spans="16:16">
      <c r="P289" s="264"/>
    </row>
    <row r="290" spans="16:16">
      <c r="P290" s="263"/>
    </row>
  </sheetData>
  <printOptions horizontalCentered="1"/>
  <pageMargins left="0.5" right="0.5" top="0.27" bottom="0.5" header="0.22" footer="0.26"/>
  <pageSetup scale="34" fitToHeight="3" orientation="landscape" horizontalDpi="300" verticalDpi="300" r:id="rId1"/>
  <headerFooter alignWithMargins="0"/>
  <rowBreaks count="1" manualBreakCount="1">
    <brk id="98" max="1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9FFF81EE4E18444BA42EA8E30330F54" ma:contentTypeVersion="19" ma:contentTypeDescription="" ma:contentTypeScope="" ma:versionID="592f7ccb20139aea61451a92cd41285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2025-02-06T08:00:00+00:00</OpenedDate>
    <SignificantOrder xmlns="dc463f71-b30c-4ab2-9473-d307f9d35888">false</SignificantOrder>
    <Date1 xmlns="dc463f71-b30c-4ab2-9473-d307f9d35888">2025-02-06T08:00:00+00:00</Date1>
    <IsDocumentOrder xmlns="dc463f71-b30c-4ab2-9473-d307f9d35888">false</IsDocumentOrder>
    <IsHighlyConfidential xmlns="dc463f71-b30c-4ab2-9473-d307f9d35888">false</IsHighlyConfidential>
    <CaseCompanyNames xmlns="dc463f71-b30c-4ab2-9473-d307f9d35888">Consolidated Disposal Services, Inc. </CaseCompanyNames>
    <Nickname xmlns="http://schemas.microsoft.com/sharepoint/v3" xsi:nil="true"/>
    <DocketNumber xmlns="dc463f71-b30c-4ab2-9473-d307f9d35888">250072</DocketNumber>
    <DelegatedOrder xmlns="dc463f71-b30c-4ab2-9473-d307f9d35888">false</DelegatedOrder>
  </documentManagement>
</p:properties>
</file>

<file path=customXml/itemProps1.xml><?xml version="1.0" encoding="utf-8"?>
<ds:datastoreItem xmlns:ds="http://schemas.openxmlformats.org/officeDocument/2006/customXml" ds:itemID="{C782FB36-5246-4F10-BE9D-5323E7F13F1E}"/>
</file>

<file path=customXml/itemProps2.xml><?xml version="1.0" encoding="utf-8"?>
<ds:datastoreItem xmlns:ds="http://schemas.openxmlformats.org/officeDocument/2006/customXml" ds:itemID="{FA863281-E71D-4A2B-89C3-FCC454737AAE}"/>
</file>

<file path=customXml/itemProps3.xml><?xml version="1.0" encoding="utf-8"?>
<ds:datastoreItem xmlns:ds="http://schemas.openxmlformats.org/officeDocument/2006/customXml" ds:itemID="{3E5B790A-81C5-4548-843A-700C76CD5E04}"/>
</file>

<file path=customXml/itemProps4.xml><?xml version="1.0" encoding="utf-8"?>
<ds:datastoreItem xmlns:ds="http://schemas.openxmlformats.org/officeDocument/2006/customXml" ds:itemID="{C1E3237A-CAC8-4975-9F32-CAE385571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46</vt:i4>
      </vt:variant>
    </vt:vector>
  </HeadingPairs>
  <TitlesOfParts>
    <vt:vector size="75" baseType="lpstr">
      <vt:lpstr>Fly Sheet</vt:lpstr>
      <vt:lpstr>LG Nonpublic 2018 V5.0c</vt:lpstr>
      <vt:lpstr>Operations</vt:lpstr>
      <vt:lpstr>Assumptions</vt:lpstr>
      <vt:lpstr>Sch 1 - Restated Exp</vt:lpstr>
      <vt:lpstr>Sch 1, pg 2 - Restated</vt:lpstr>
      <vt:lpstr>Sch 2 - Forecast Exp</vt:lpstr>
      <vt:lpstr>Sch 2, pg 2 - Forecast</vt:lpstr>
      <vt:lpstr>Sch 3 - Reclass Exp</vt:lpstr>
      <vt:lpstr>Sch 3, pg 2 - Reclass</vt:lpstr>
      <vt:lpstr>Sch 4 - 12 Months</vt:lpstr>
      <vt:lpstr>Work Papers</vt:lpstr>
      <vt:lpstr>WP-1 - Summary Depr</vt:lpstr>
      <vt:lpstr>WP-1, pg 2 - Depreciation</vt:lpstr>
      <vt:lpstr>WP-2 - Labor Analysis</vt:lpstr>
      <vt:lpstr>WP-2, pg 2 - Labor Increase</vt:lpstr>
      <vt:lpstr>WP-2, pg 3 - Benefits Analysis</vt:lpstr>
      <vt:lpstr>WP-4 - Dues &amp; Subs</vt:lpstr>
      <vt:lpstr>WP-5 - Capital Structure</vt:lpstr>
      <vt:lpstr>WP-6 - Affiliated </vt:lpstr>
      <vt:lpstr>WP-7 - Fuel Analysis</vt:lpstr>
      <vt:lpstr>WP-8 - Bad Debts</vt:lpstr>
      <vt:lpstr>WP-9 - Disposal Fees</vt:lpstr>
      <vt:lpstr>WP-10 - Rate Case Costs</vt:lpstr>
      <vt:lpstr>WP-11 - Non-Regulated</vt:lpstr>
      <vt:lpstr>WP-11, pg 2 - Non-Regulated</vt:lpstr>
      <vt:lpstr>WP-12 - Insurance</vt:lpstr>
      <vt:lpstr>WP-12, pg 2 - Insurance</vt:lpstr>
      <vt:lpstr>IS-PBC</vt:lpstr>
      <vt:lpstr>'LG Nonpublic 2018 V5.0c'!Debt_Rate</vt:lpstr>
      <vt:lpstr>'LG Nonpublic 2018 V5.0c'!debtP</vt:lpstr>
      <vt:lpstr>'LG Nonpublic 2018 V5.0c'!Equity_percent</vt:lpstr>
      <vt:lpstr>'LG Nonpublic 2018 V5.0c'!equityP</vt:lpstr>
      <vt:lpstr>'LG Nonpublic 2018 V5.0c'!expenses</vt:lpstr>
      <vt:lpstr>income_statement</vt:lpstr>
      <vt:lpstr>'LG Nonpublic 2018 V5.0c'!Investment</vt:lpstr>
      <vt:lpstr>'LG Nonpublic 2018 V5.0c'!Pfd_weighted</vt:lpstr>
      <vt:lpstr>Assumptions!Print_Area</vt:lpstr>
      <vt:lpstr>'Fly Sheet'!Print_Area</vt:lpstr>
      <vt:lpstr>'IS-PBC'!Print_Area</vt:lpstr>
      <vt:lpstr>'LG Nonpublic 2018 V5.0c'!Print_Area</vt:lpstr>
      <vt:lpstr>Operations!Print_Area</vt:lpstr>
      <vt:lpstr>'Sch 1 - Restated Exp'!Print_Area</vt:lpstr>
      <vt:lpstr>'Sch 1, pg 2 - Restated'!Print_Area</vt:lpstr>
      <vt:lpstr>'Sch 2 - Forecast Exp'!Print_Area</vt:lpstr>
      <vt:lpstr>'Sch 2, pg 2 - Forecast'!Print_Area</vt:lpstr>
      <vt:lpstr>'Sch 3 - Reclass Exp'!Print_Area</vt:lpstr>
      <vt:lpstr>'Sch 3, pg 2 - Reclass'!Print_Area</vt:lpstr>
      <vt:lpstr>'Sch 4 - 12 Months'!Print_Area</vt:lpstr>
      <vt:lpstr>'Work Papers'!Print_Area</vt:lpstr>
      <vt:lpstr>'WP-1 - Summary Depr'!Print_Area</vt:lpstr>
      <vt:lpstr>'WP-1, pg 2 - Depreciation'!Print_Area</vt:lpstr>
      <vt:lpstr>'WP-10 - Rate Case Costs'!Print_Area</vt:lpstr>
      <vt:lpstr>'WP-2 - Labor Analysis'!Print_Area</vt:lpstr>
      <vt:lpstr>'WP-2, pg 2 - Labor Increase'!Print_Area</vt:lpstr>
      <vt:lpstr>'WP-2, pg 3 - Benefits Analysis'!Print_Area</vt:lpstr>
      <vt:lpstr>'WP-4 - Dues &amp; Subs'!Print_Area</vt:lpstr>
      <vt:lpstr>'WP-5 - Capital Structure'!Print_Area</vt:lpstr>
      <vt:lpstr>'WP-6 - Affiliated '!Print_Area</vt:lpstr>
      <vt:lpstr>'WP-7 - Fuel Analysis'!Print_Area</vt:lpstr>
      <vt:lpstr>'WP-8 - Bad Debts'!Print_Area</vt:lpstr>
      <vt:lpstr>'WP-9 - Disposal Fees'!Print_Area</vt:lpstr>
      <vt:lpstr>'Sch 1, pg 2 - Restated'!Print_Titles</vt:lpstr>
      <vt:lpstr>'Sch 2, pg 2 - Forecast'!Print_Titles</vt:lpstr>
      <vt:lpstr>'Sch 3, pg 2 - Reclass'!Print_Titles</vt:lpstr>
      <vt:lpstr>'Sch 4 - 12 Months'!Print_Titles</vt:lpstr>
      <vt:lpstr>'WP-2, pg 2 - Labor Increase'!Print_Titles</vt:lpstr>
      <vt:lpstr>'LG Nonpublic 2018 V5.0c'!regDebt_weighted</vt:lpstr>
      <vt:lpstr>'LG Nonpublic 2018 V5.0c'!Revenue</vt:lpstr>
      <vt:lpstr>'LG Nonpublic 2018 V5.0c'!slope</vt:lpstr>
      <vt:lpstr>'LG Nonpublic 2018 V5.0c'!taxrate</vt:lpstr>
      <vt:lpstr>'LG Nonpublic 2018 V5.0c'!y_inter1</vt:lpstr>
      <vt:lpstr>'LG Nonpublic 2018 V5.0c'!y_inter2</vt:lpstr>
      <vt:lpstr>'LG Nonpublic 2018 V5.0c'!y_inter3</vt:lpstr>
      <vt:lpstr>'LG Nonpublic 2018 V5.0c'!y_inter4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gbooth</dc:creator>
  <cp:lastModifiedBy>Booth, Avery (UTC)</cp:lastModifiedBy>
  <cp:lastPrinted>2023-02-13T18:07:11Z</cp:lastPrinted>
  <dcterms:created xsi:type="dcterms:W3CDTF">2002-10-01T21:01:48Z</dcterms:created>
  <dcterms:modified xsi:type="dcterms:W3CDTF">2025-02-10T16:21:21Z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Waste Control Equipment, Inc.</vt:lpwstr>
  </property>
  <property fmtid="{D5CDD505-2E9C-101B-9397-08002B2CF9AE}" pid="4" name="PPC_Template_Engagement_Date">
    <vt:lpwstr>12/31/2017</vt:lpwstr>
  </property>
  <property fmtid="{D5CDD505-2E9C-101B-9397-08002B2CF9AE}" pid="5" name="ContentTypeId">
    <vt:lpwstr>0x0101006E56B4D1795A2E4DB2F0B01679ED314A0089FFF81EE4E18444BA42EA8E30330F54</vt:lpwstr>
  </property>
</Properties>
</file>