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4-06 Electric Schedule 120 - Electricity Conservation Service Rider (UE-240138) (Eff. 05-01-24)\Sent to UTC 4-11-24\"/>
    </mc:Choice>
  </mc:AlternateContent>
  <bookViews>
    <workbookView xWindow="-120" yWindow="-120" windowWidth="29040" windowHeight="15840" tabRatio="756" activeTab="1"/>
  </bookViews>
  <sheets>
    <sheet name="Tariff Use&gt;" sheetId="90" r:id="rId1"/>
    <sheet name="Sch 120 Rates" sheetId="95" r:id="rId2"/>
    <sheet name="Lighting Rates" sheetId="94" r:id="rId3"/>
    <sheet name="Rate Impacts" sheetId="38" r:id="rId4"/>
    <sheet name="Workpapers&gt;" sheetId="89" r:id="rId5"/>
    <sheet name="Lighting RD" sheetId="76" r:id="rId6"/>
    <sheet name="Rate Spread &amp; Design" sheetId="87" r:id="rId7"/>
    <sheet name="Inputs" sheetId="88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2">'Lighting Rates'!$A$1:$E$163</definedName>
    <definedName name="_xlnm.Print_Area" localSheetId="5">'Lighting RD'!$A$1:$H$170</definedName>
    <definedName name="_xlnm.Print_Area" localSheetId="3">'Rate Impacts'!$A$1:$O$44</definedName>
    <definedName name="_xlnm.Print_Area" localSheetId="6">'Rate Spread &amp; Design'!$A$1:$G$47</definedName>
    <definedName name="_xlnm.Print_Area" localSheetId="1">'Sch 120 Rates'!$A$1:$G$73</definedName>
    <definedName name="_xlnm.Print_Titles" localSheetId="5">'Lighting RD'!$1:$14</definedName>
    <definedName name="_xlnm.Print_Titles" localSheetId="6">'Rate Spread &amp; Design'!$A:$G</definedName>
  </definedNames>
  <calcPr calcId="162913"/>
</workbook>
</file>

<file path=xl/calcChain.xml><?xml version="1.0" encoding="utf-8"?>
<calcChain xmlns="http://schemas.openxmlformats.org/spreadsheetml/2006/main">
  <c r="B4" i="88" l="1"/>
  <c r="E28" i="87" l="1"/>
  <c r="E42" i="38" l="1"/>
  <c r="D42" i="38"/>
  <c r="C42" i="38"/>
  <c r="F32" i="87"/>
  <c r="F26" i="87"/>
  <c r="F24" i="87"/>
  <c r="F22" i="87"/>
  <c r="F21" i="87"/>
  <c r="F19" i="87"/>
  <c r="F18" i="87"/>
  <c r="F17" i="87"/>
  <c r="F15" i="87"/>
  <c r="F14" i="87"/>
  <c r="F13" i="87"/>
  <c r="F12" i="87"/>
  <c r="F10" i="87"/>
  <c r="C38" i="95"/>
  <c r="C34" i="95"/>
  <c r="C33" i="95"/>
  <c r="C32" i="95"/>
  <c r="C29" i="95"/>
  <c r="C28" i="95"/>
  <c r="C24" i="95"/>
  <c r="C23" i="95"/>
  <c r="C22" i="95"/>
  <c r="C18" i="95"/>
  <c r="C17" i="95"/>
  <c r="C16" i="95"/>
  <c r="C15" i="95"/>
  <c r="C14" i="95"/>
  <c r="C11" i="95"/>
  <c r="A3" i="95"/>
  <c r="I28" i="87" l="1"/>
  <c r="E40" i="87"/>
  <c r="E34" i="87"/>
  <c r="E35" i="87"/>
  <c r="A3" i="76" l="1"/>
  <c r="A4" i="76"/>
  <c r="A10" i="76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A45" i="76" s="1"/>
  <c r="A46" i="76" s="1"/>
  <c r="A47" i="76" s="1"/>
  <c r="A48" i="76" s="1"/>
  <c r="A49" i="76" s="1"/>
  <c r="A50" i="76" s="1"/>
  <c r="A51" i="76" s="1"/>
  <c r="A52" i="76" s="1"/>
  <c r="A53" i="76" s="1"/>
  <c r="A54" i="76" s="1"/>
  <c r="A55" i="76" s="1"/>
  <c r="A56" i="76" s="1"/>
  <c r="A57" i="76" s="1"/>
  <c r="A58" i="76" s="1"/>
  <c r="A59" i="76" s="1"/>
  <c r="A60" i="76" s="1"/>
  <c r="A61" i="76" s="1"/>
  <c r="A62" i="76" s="1"/>
  <c r="A63" i="76" s="1"/>
  <c r="A64" i="76" s="1"/>
  <c r="A65" i="76" s="1"/>
  <c r="A66" i="76" s="1"/>
  <c r="A67" i="76" s="1"/>
  <c r="A68" i="76" s="1"/>
  <c r="A69" i="76" s="1"/>
  <c r="A70" i="76" s="1"/>
  <c r="A71" i="76" s="1"/>
  <c r="A72" i="76" s="1"/>
  <c r="A73" i="76" s="1"/>
  <c r="A74" i="76" s="1"/>
  <c r="A75" i="76" s="1"/>
  <c r="A76" i="76" s="1"/>
  <c r="A77" i="76" s="1"/>
  <c r="A78" i="76" s="1"/>
  <c r="A79" i="76" s="1"/>
  <c r="A80" i="76" s="1"/>
  <c r="A81" i="76" s="1"/>
  <c r="A82" i="76" s="1"/>
  <c r="A83" i="76" s="1"/>
  <c r="A84" i="76" s="1"/>
  <c r="A85" i="76" s="1"/>
  <c r="A86" i="76" s="1"/>
  <c r="A87" i="76" s="1"/>
  <c r="A88" i="76" s="1"/>
  <c r="A89" i="76" s="1"/>
  <c r="A90" i="76" s="1"/>
  <c r="A91" i="76" s="1"/>
  <c r="A92" i="76" s="1"/>
  <c r="A93" i="76" s="1"/>
  <c r="A94" i="76" s="1"/>
  <c r="A95" i="76" s="1"/>
  <c r="A96" i="76" s="1"/>
  <c r="A97" i="76" s="1"/>
  <c r="A98" i="76" s="1"/>
  <c r="A99" i="76" s="1"/>
  <c r="A100" i="76" s="1"/>
  <c r="A101" i="76" s="1"/>
  <c r="A102" i="76" s="1"/>
  <c r="A103" i="76" s="1"/>
  <c r="A104" i="76" s="1"/>
  <c r="A105" i="76" s="1"/>
  <c r="A106" i="76" s="1"/>
  <c r="A107" i="76" s="1"/>
  <c r="A108" i="76" s="1"/>
  <c r="A109" i="76" s="1"/>
  <c r="A110" i="76" s="1"/>
  <c r="A111" i="76" s="1"/>
  <c r="A112" i="76" s="1"/>
  <c r="A113" i="76" s="1"/>
  <c r="A114" i="76" s="1"/>
  <c r="A115" i="76" s="1"/>
  <c r="A116" i="76" s="1"/>
  <c r="A117" i="76" s="1"/>
  <c r="A118" i="76" s="1"/>
  <c r="A119" i="76" s="1"/>
  <c r="A120" i="76" s="1"/>
  <c r="A121" i="76" s="1"/>
  <c r="A122" i="76" s="1"/>
  <c r="A123" i="76" s="1"/>
  <c r="A124" i="76" s="1"/>
  <c r="A125" i="76" s="1"/>
  <c r="A126" i="76" s="1"/>
  <c r="A127" i="76" s="1"/>
  <c r="A128" i="76" s="1"/>
  <c r="A129" i="76" s="1"/>
  <c r="A130" i="76" s="1"/>
  <c r="A131" i="76" s="1"/>
  <c r="A132" i="76" s="1"/>
  <c r="A133" i="76" s="1"/>
  <c r="A134" i="76" s="1"/>
  <c r="A135" i="76" s="1"/>
  <c r="A136" i="76" s="1"/>
  <c r="A137" i="76" s="1"/>
  <c r="A138" i="76" s="1"/>
  <c r="A139" i="76" s="1"/>
  <c r="A140" i="76" s="1"/>
  <c r="A141" i="76" s="1"/>
  <c r="A142" i="76" s="1"/>
  <c r="A143" i="76" s="1"/>
  <c r="A144" i="76" s="1"/>
  <c r="A145" i="76" s="1"/>
  <c r="A146" i="76" s="1"/>
  <c r="A147" i="76" s="1"/>
  <c r="A148" i="76" s="1"/>
  <c r="A149" i="76" s="1"/>
  <c r="A150" i="76" s="1"/>
  <c r="A151" i="76" s="1"/>
  <c r="A152" i="76" s="1"/>
  <c r="A153" i="76" s="1"/>
  <c r="A154" i="76" s="1"/>
  <c r="A155" i="76" s="1"/>
  <c r="A156" i="76" s="1"/>
  <c r="A157" i="76" s="1"/>
  <c r="A158" i="76" s="1"/>
  <c r="A159" i="76" s="1"/>
  <c r="A160" i="76" s="1"/>
  <c r="A161" i="76" s="1"/>
  <c r="A162" i="76" s="1"/>
  <c r="A163" i="76" s="1"/>
  <c r="A164" i="76" s="1"/>
  <c r="A165" i="76" s="1"/>
  <c r="A166" i="76" s="1"/>
  <c r="A167" i="76" s="1"/>
  <c r="A168" i="76" s="1"/>
  <c r="A169" i="76" s="1"/>
  <c r="A170" i="76" s="1"/>
  <c r="E11" i="76"/>
  <c r="G11" i="76"/>
  <c r="E13" i="76"/>
  <c r="F13" i="76" s="1"/>
  <c r="G13" i="76"/>
  <c r="B14" i="76"/>
  <c r="B15" i="76" s="1"/>
  <c r="B16" i="76" s="1"/>
  <c r="E14" i="76"/>
  <c r="F14" i="76" s="1"/>
  <c r="G14" i="76"/>
  <c r="E15" i="76"/>
  <c r="F15" i="76" s="1"/>
  <c r="G15" i="76"/>
  <c r="E16" i="76"/>
  <c r="F16" i="76" s="1"/>
  <c r="E19" i="76"/>
  <c r="F19" i="76" s="1"/>
  <c r="G19" i="76"/>
  <c r="E20" i="76"/>
  <c r="F20" i="76" s="1"/>
  <c r="G20" i="76"/>
  <c r="E21" i="76"/>
  <c r="F21" i="76" s="1"/>
  <c r="G21" i="76"/>
  <c r="E22" i="76"/>
  <c r="F22" i="76" s="1"/>
  <c r="G22" i="76"/>
  <c r="E23" i="76"/>
  <c r="F23" i="76" s="1"/>
  <c r="G23" i="76"/>
  <c r="E24" i="76"/>
  <c r="F24" i="76" s="1"/>
  <c r="G24" i="76"/>
  <c r="E25" i="76"/>
  <c r="F25" i="76" s="1"/>
  <c r="G25" i="76"/>
  <c r="E26" i="76"/>
  <c r="F26" i="76" s="1"/>
  <c r="G26" i="76"/>
  <c r="E27" i="76"/>
  <c r="F27" i="76" s="1"/>
  <c r="G27" i="76"/>
  <c r="E28" i="76"/>
  <c r="F28" i="76" s="1"/>
  <c r="G28" i="76"/>
  <c r="E29" i="76"/>
  <c r="F29" i="76" s="1"/>
  <c r="G29" i="76"/>
  <c r="E32" i="76"/>
  <c r="F32" i="76"/>
  <c r="B33" i="76"/>
  <c r="B34" i="76" s="1"/>
  <c r="B35" i="76" s="1"/>
  <c r="B36" i="76" s="1"/>
  <c r="E33" i="76"/>
  <c r="F33" i="76" s="1"/>
  <c r="G33" i="76"/>
  <c r="E34" i="76"/>
  <c r="F34" i="76" s="1"/>
  <c r="G34" i="76"/>
  <c r="E35" i="76"/>
  <c r="F35" i="76" s="1"/>
  <c r="G35" i="76"/>
  <c r="E36" i="76"/>
  <c r="F36" i="76" s="1"/>
  <c r="G36" i="76"/>
  <c r="E37" i="76"/>
  <c r="F37" i="76" s="1"/>
  <c r="G37" i="76"/>
  <c r="E38" i="76"/>
  <c r="F38" i="76"/>
  <c r="G38" i="76"/>
  <c r="E39" i="76"/>
  <c r="F39" i="76" s="1"/>
  <c r="G39" i="76"/>
  <c r="E41" i="76"/>
  <c r="F41" i="76" s="1"/>
  <c r="G41" i="76"/>
  <c r="E42" i="76"/>
  <c r="F42" i="76" s="1"/>
  <c r="G42" i="76"/>
  <c r="E43" i="76"/>
  <c r="F43" i="76" s="1"/>
  <c r="G43" i="76"/>
  <c r="E44" i="76"/>
  <c r="F44" i="76" s="1"/>
  <c r="G44" i="76"/>
  <c r="C45" i="76"/>
  <c r="C46" i="76" s="1"/>
  <c r="C47" i="76" s="1"/>
  <c r="E45" i="76"/>
  <c r="F45" i="76" s="1"/>
  <c r="G45" i="76"/>
  <c r="E46" i="76"/>
  <c r="F46" i="76"/>
  <c r="G46" i="76"/>
  <c r="E47" i="76"/>
  <c r="F47" i="76"/>
  <c r="G47" i="76"/>
  <c r="E50" i="76"/>
  <c r="F50" i="76" s="1"/>
  <c r="G50" i="76"/>
  <c r="B51" i="76"/>
  <c r="E51" i="76"/>
  <c r="F51" i="76" s="1"/>
  <c r="G51" i="76"/>
  <c r="B52" i="76"/>
  <c r="B53" i="76" s="1"/>
  <c r="B54" i="76" s="1"/>
  <c r="B55" i="76" s="1"/>
  <c r="B56" i="76" s="1"/>
  <c r="B57" i="76" s="1"/>
  <c r="B58" i="76" s="1"/>
  <c r="B60" i="76" s="1"/>
  <c r="B61" i="76" s="1"/>
  <c r="B62" i="76" s="1"/>
  <c r="B63" i="76" s="1"/>
  <c r="B64" i="76" s="1"/>
  <c r="E52" i="76"/>
  <c r="F52" i="76" s="1"/>
  <c r="G52" i="76"/>
  <c r="E53" i="76"/>
  <c r="F53" i="76" s="1"/>
  <c r="G53" i="76"/>
  <c r="E54" i="76"/>
  <c r="F54" i="76" s="1"/>
  <c r="G54" i="76"/>
  <c r="E55" i="76"/>
  <c r="F55" i="76" s="1"/>
  <c r="G55" i="76"/>
  <c r="E56" i="76"/>
  <c r="F56" i="76"/>
  <c r="G56" i="76"/>
  <c r="E57" i="76"/>
  <c r="F57" i="76"/>
  <c r="G57" i="76"/>
  <c r="E58" i="76"/>
  <c r="F58" i="76" s="1"/>
  <c r="E60" i="76"/>
  <c r="F60" i="76" s="1"/>
  <c r="E61" i="76"/>
  <c r="F61" i="76" s="1"/>
  <c r="E62" i="76"/>
  <c r="F62" i="76" s="1"/>
  <c r="E63" i="76"/>
  <c r="F63" i="76" s="1"/>
  <c r="G63" i="76"/>
  <c r="E64" i="76"/>
  <c r="F64" i="76" s="1"/>
  <c r="E65" i="76"/>
  <c r="F65" i="76" s="1"/>
  <c r="E67" i="76"/>
  <c r="F67" i="76" s="1"/>
  <c r="G67" i="76"/>
  <c r="E68" i="76"/>
  <c r="F68" i="76" s="1"/>
  <c r="G68" i="76"/>
  <c r="E69" i="76"/>
  <c r="F69" i="76" s="1"/>
  <c r="G69" i="76"/>
  <c r="E70" i="76"/>
  <c r="F70" i="76" s="1"/>
  <c r="G70" i="76"/>
  <c r="E71" i="76"/>
  <c r="F71" i="76" s="1"/>
  <c r="G71" i="76"/>
  <c r="E72" i="76"/>
  <c r="F72" i="76" s="1"/>
  <c r="G72" i="76"/>
  <c r="E73" i="76"/>
  <c r="F73" i="76" s="1"/>
  <c r="G73" i="76"/>
  <c r="E74" i="76"/>
  <c r="F74" i="76" s="1"/>
  <c r="G74" i="76"/>
  <c r="E75" i="76"/>
  <c r="F75" i="76" s="1"/>
  <c r="G75" i="76"/>
  <c r="E76" i="76"/>
  <c r="F76" i="76" s="1"/>
  <c r="G76" i="76"/>
  <c r="E77" i="76"/>
  <c r="F77" i="76" s="1"/>
  <c r="G77" i="76"/>
  <c r="E80" i="76"/>
  <c r="F80" i="76" s="1"/>
  <c r="G80" i="76"/>
  <c r="B81" i="76"/>
  <c r="E81" i="76"/>
  <c r="F81" i="76" s="1"/>
  <c r="G81" i="76"/>
  <c r="B82" i="76"/>
  <c r="B83" i="76" s="1"/>
  <c r="B84" i="76" s="1"/>
  <c r="B85" i="76" s="1"/>
  <c r="B86" i="76" s="1"/>
  <c r="B87" i="76" s="1"/>
  <c r="E82" i="76"/>
  <c r="F82" i="76" s="1"/>
  <c r="G82" i="76"/>
  <c r="E83" i="76"/>
  <c r="F83" i="76" s="1"/>
  <c r="G83" i="76"/>
  <c r="E84" i="76"/>
  <c r="F84" i="76" s="1"/>
  <c r="G84" i="76"/>
  <c r="E85" i="76"/>
  <c r="F85" i="76" s="1"/>
  <c r="G85" i="76"/>
  <c r="E86" i="76"/>
  <c r="F86" i="76" s="1"/>
  <c r="G86" i="76"/>
  <c r="E87" i="76"/>
  <c r="F87" i="76"/>
  <c r="G87" i="76"/>
  <c r="E88" i="76"/>
  <c r="F88" i="76" s="1"/>
  <c r="E90" i="76"/>
  <c r="F90" i="76" s="1"/>
  <c r="G90" i="76"/>
  <c r="E91" i="76"/>
  <c r="F91" i="76" s="1"/>
  <c r="G91" i="76"/>
  <c r="E92" i="76"/>
  <c r="F92" i="76" s="1"/>
  <c r="G92" i="76"/>
  <c r="E93" i="76"/>
  <c r="F93" i="76" s="1"/>
  <c r="G93" i="76"/>
  <c r="E94" i="76"/>
  <c r="F94" i="76" s="1"/>
  <c r="G94" i="76"/>
  <c r="E95" i="76"/>
  <c r="F95" i="76" s="1"/>
  <c r="G95" i="76"/>
  <c r="E96" i="76"/>
  <c r="F96" i="76" s="1"/>
  <c r="G96" i="76"/>
  <c r="E97" i="76"/>
  <c r="F97" i="76" s="1"/>
  <c r="G97" i="76"/>
  <c r="E98" i="76"/>
  <c r="F98" i="76" s="1"/>
  <c r="G98" i="76"/>
  <c r="E99" i="76"/>
  <c r="F99" i="76" s="1"/>
  <c r="E102" i="76"/>
  <c r="F102" i="76" s="1"/>
  <c r="G102" i="76"/>
  <c r="B103" i="76"/>
  <c r="B104" i="76" s="1"/>
  <c r="B105" i="76" s="1"/>
  <c r="B106" i="76" s="1"/>
  <c r="B107" i="76" s="1"/>
  <c r="B109" i="76" s="1"/>
  <c r="E103" i="76"/>
  <c r="F103" i="76" s="1"/>
  <c r="G103" i="76"/>
  <c r="E104" i="76"/>
  <c r="F104" i="76" s="1"/>
  <c r="G104" i="76"/>
  <c r="E105" i="76"/>
  <c r="F105" i="76" s="1"/>
  <c r="G105" i="76"/>
  <c r="E106" i="76"/>
  <c r="F106" i="76" s="1"/>
  <c r="G106" i="76"/>
  <c r="E107" i="76"/>
  <c r="F107" i="76" s="1"/>
  <c r="G107" i="76"/>
  <c r="E109" i="76"/>
  <c r="F109" i="76" s="1"/>
  <c r="G109" i="76"/>
  <c r="E111" i="76"/>
  <c r="F111" i="76" s="1"/>
  <c r="G111" i="76"/>
  <c r="E112" i="76"/>
  <c r="F112" i="76"/>
  <c r="G112" i="76"/>
  <c r="E113" i="76"/>
  <c r="F113" i="76" s="1"/>
  <c r="G113" i="76"/>
  <c r="E114" i="76"/>
  <c r="F114" i="76" s="1"/>
  <c r="G114" i="76"/>
  <c r="E115" i="76"/>
  <c r="F115" i="76" s="1"/>
  <c r="E116" i="76"/>
  <c r="F116" i="76"/>
  <c r="E117" i="76"/>
  <c r="F117" i="76" s="1"/>
  <c r="E118" i="76"/>
  <c r="F118" i="76" s="1"/>
  <c r="E119" i="76"/>
  <c r="F119" i="76" s="1"/>
  <c r="E120" i="76"/>
  <c r="F120" i="76" s="1"/>
  <c r="E123" i="76"/>
  <c r="F123" i="76" s="1"/>
  <c r="G123" i="76"/>
  <c r="E126" i="76"/>
  <c r="F126" i="76" s="1"/>
  <c r="G126" i="76"/>
  <c r="B127" i="76"/>
  <c r="B139" i="76" s="1"/>
  <c r="B140" i="76" s="1"/>
  <c r="B141" i="76" s="1"/>
  <c r="B142" i="76" s="1"/>
  <c r="E127" i="76"/>
  <c r="F127" i="76" s="1"/>
  <c r="G127" i="76"/>
  <c r="E128" i="76"/>
  <c r="F128" i="76" s="1"/>
  <c r="G128" i="76"/>
  <c r="E129" i="76"/>
  <c r="F129" i="76" s="1"/>
  <c r="G129" i="76"/>
  <c r="E130" i="76"/>
  <c r="F130" i="76" s="1"/>
  <c r="G130" i="76"/>
  <c r="E131" i="76"/>
  <c r="F131" i="76" s="1"/>
  <c r="G131" i="76"/>
  <c r="E133" i="76"/>
  <c r="F133" i="76" s="1"/>
  <c r="B134" i="76"/>
  <c r="B135" i="76" s="1"/>
  <c r="B136" i="76" s="1"/>
  <c r="B137" i="76" s="1"/>
  <c r="E134" i="76"/>
  <c r="F134" i="76" s="1"/>
  <c r="G134" i="76"/>
  <c r="E135" i="76"/>
  <c r="F135" i="76" s="1"/>
  <c r="G135" i="76"/>
  <c r="E136" i="76"/>
  <c r="F136" i="76" s="1"/>
  <c r="G136" i="76"/>
  <c r="E137" i="76"/>
  <c r="F137" i="76"/>
  <c r="G137" i="76"/>
  <c r="E139" i="76"/>
  <c r="F139" i="76" s="1"/>
  <c r="G139" i="76"/>
  <c r="E140" i="76"/>
  <c r="F140" i="76" s="1"/>
  <c r="G140" i="76"/>
  <c r="E141" i="76"/>
  <c r="F141" i="76" s="1"/>
  <c r="G141" i="76"/>
  <c r="E142" i="76"/>
  <c r="F142" i="76" s="1"/>
  <c r="G142" i="76"/>
  <c r="B144" i="76"/>
  <c r="B145" i="76" s="1"/>
  <c r="E144" i="76"/>
  <c r="F144" i="76" s="1"/>
  <c r="G144" i="76"/>
  <c r="E145" i="76"/>
  <c r="F145" i="76" s="1"/>
  <c r="G145" i="76"/>
  <c r="E147" i="76"/>
  <c r="F147" i="76" s="1"/>
  <c r="E148" i="76"/>
  <c r="F148" i="76" s="1"/>
  <c r="G148" i="76"/>
  <c r="B149" i="76"/>
  <c r="B150" i="76" s="1"/>
  <c r="B151" i="76" s="1"/>
  <c r="B152" i="76" s="1"/>
  <c r="B153" i="76" s="1"/>
  <c r="B154" i="76" s="1"/>
  <c r="B155" i="76" s="1"/>
  <c r="B156" i="76" s="1"/>
  <c r="B157" i="76" s="1"/>
  <c r="B158" i="76" s="1"/>
  <c r="B159" i="76" s="1"/>
  <c r="B160" i="76" s="1"/>
  <c r="B161" i="76" s="1"/>
  <c r="B162" i="76" s="1"/>
  <c r="E149" i="76"/>
  <c r="F149" i="76" s="1"/>
  <c r="G149" i="76"/>
  <c r="E150" i="76"/>
  <c r="F150" i="76" s="1"/>
  <c r="G150" i="76"/>
  <c r="E151" i="76"/>
  <c r="F151" i="76" s="1"/>
  <c r="G151" i="76"/>
  <c r="E152" i="76"/>
  <c r="F152" i="76" s="1"/>
  <c r="G152" i="76"/>
  <c r="E153" i="76"/>
  <c r="F153" i="76" s="1"/>
  <c r="E154" i="76"/>
  <c r="F154" i="76" s="1"/>
  <c r="G154" i="76"/>
  <c r="E155" i="76"/>
  <c r="F155" i="76" s="1"/>
  <c r="G155" i="76"/>
  <c r="E156" i="76"/>
  <c r="F156" i="76" s="1"/>
  <c r="E157" i="76"/>
  <c r="F157" i="76" s="1"/>
  <c r="E158" i="76"/>
  <c r="F158" i="76" s="1"/>
  <c r="E159" i="76"/>
  <c r="F159" i="76" s="1"/>
  <c r="E160" i="76"/>
  <c r="F160" i="76" s="1"/>
  <c r="E161" i="76"/>
  <c r="F161" i="76" s="1"/>
  <c r="E162" i="76"/>
  <c r="F162" i="76" s="1"/>
  <c r="A2" i="95"/>
  <c r="A11" i="95"/>
  <c r="A12" i="95" s="1"/>
  <c r="A13" i="95" s="1"/>
  <c r="A14" i="95" s="1"/>
  <c r="A15" i="95" s="1"/>
  <c r="A16" i="95" s="1"/>
  <c r="A17" i="95" s="1"/>
  <c r="A18" i="95" s="1"/>
  <c r="A19" i="95" s="1"/>
  <c r="A20" i="95" s="1"/>
  <c r="A21" i="95" s="1"/>
  <c r="A22" i="95" s="1"/>
  <c r="A23" i="95" s="1"/>
  <c r="A24" i="95" s="1"/>
  <c r="A25" i="95" s="1"/>
  <c r="A26" i="95" s="1"/>
  <c r="A27" i="95" s="1"/>
  <c r="A28" i="95" s="1"/>
  <c r="A29" i="95" s="1"/>
  <c r="A30" i="95" s="1"/>
  <c r="A31" i="95" s="1"/>
  <c r="A32" i="95" s="1"/>
  <c r="A33" i="95" s="1"/>
  <c r="A34" i="95" s="1"/>
  <c r="A35" i="95" s="1"/>
  <c r="A36" i="95" s="1"/>
  <c r="A37" i="95" s="1"/>
  <c r="A38" i="95" s="1"/>
  <c r="A39" i="95" s="1"/>
  <c r="A40" i="95" s="1"/>
  <c r="A41" i="95" s="1"/>
  <c r="A42" i="95" s="1"/>
  <c r="A43" i="95" s="1"/>
  <c r="A44" i="95" s="1"/>
  <c r="A45" i="95" s="1"/>
  <c r="A46" i="95" s="1"/>
  <c r="A47" i="95" s="1"/>
  <c r="A48" i="95" s="1"/>
  <c r="A49" i="95" s="1"/>
  <c r="A50" i="95" s="1"/>
  <c r="A51" i="95" s="1"/>
  <c r="A52" i="95" s="1"/>
  <c r="A53" i="95" s="1"/>
  <c r="A54" i="95" s="1"/>
  <c r="A55" i="95" s="1"/>
  <c r="A56" i="95" s="1"/>
  <c r="A57" i="95" s="1"/>
  <c r="A58" i="95" s="1"/>
  <c r="A59" i="95" s="1"/>
  <c r="A60" i="95" s="1"/>
  <c r="A61" i="95" s="1"/>
  <c r="A62" i="95" s="1"/>
  <c r="A63" i="95" s="1"/>
  <c r="A64" i="95" s="1"/>
  <c r="A65" i="95" s="1"/>
  <c r="A66" i="95" s="1"/>
  <c r="A67" i="95" s="1"/>
  <c r="A68" i="95" s="1"/>
  <c r="A69" i="95" s="1"/>
  <c r="A70" i="95" s="1"/>
  <c r="A71" i="95" s="1"/>
  <c r="A72" i="95" s="1"/>
  <c r="A73" i="95" s="1"/>
  <c r="C44" i="95"/>
  <c r="C47" i="95"/>
  <c r="C48" i="95"/>
  <c r="C49" i="95"/>
  <c r="G16" i="95"/>
  <c r="C50" i="95"/>
  <c r="C51" i="95"/>
  <c r="C56" i="95"/>
  <c r="C57" i="95"/>
  <c r="C61" i="95"/>
  <c r="C62" i="95"/>
  <c r="C65" i="95"/>
  <c r="C66" i="95"/>
  <c r="C67" i="95"/>
  <c r="C71" i="95"/>
  <c r="B44" i="95"/>
  <c r="F44" i="95"/>
  <c r="B46" i="95"/>
  <c r="B47" i="95"/>
  <c r="F47" i="95"/>
  <c r="B48" i="95"/>
  <c r="F48" i="95"/>
  <c r="B49" i="95"/>
  <c r="D49" i="95"/>
  <c r="E49" i="95"/>
  <c r="B50" i="95"/>
  <c r="F50" i="95"/>
  <c r="B51" i="95"/>
  <c r="F51" i="95"/>
  <c r="B52" i="95"/>
  <c r="B54" i="95"/>
  <c r="B55" i="95"/>
  <c r="C55" i="95"/>
  <c r="F55" i="95"/>
  <c r="B56" i="95"/>
  <c r="F56" i="95"/>
  <c r="B57" i="95"/>
  <c r="F57" i="95"/>
  <c r="B58" i="95"/>
  <c r="B60" i="95"/>
  <c r="B61" i="95"/>
  <c r="F61" i="95"/>
  <c r="B62" i="95"/>
  <c r="F62" i="95"/>
  <c r="B63" i="95"/>
  <c r="B65" i="95"/>
  <c r="F65" i="95"/>
  <c r="B66" i="95"/>
  <c r="F66" i="95"/>
  <c r="B67" i="95"/>
  <c r="F67" i="95"/>
  <c r="B69" i="95"/>
  <c r="B71" i="95"/>
  <c r="F71" i="95"/>
  <c r="B73" i="95"/>
  <c r="A3" i="94"/>
  <c r="A4" i="94"/>
  <c r="A9" i="94"/>
  <c r="A10" i="94" s="1"/>
  <c r="A11" i="94" s="1"/>
  <c r="A12" i="94" s="1"/>
  <c r="A13" i="94" s="1"/>
  <c r="A14" i="94" s="1"/>
  <c r="A15" i="94" s="1"/>
  <c r="A16" i="94" s="1"/>
  <c r="A17" i="94" s="1"/>
  <c r="A18" i="94" s="1"/>
  <c r="A19" i="94" s="1"/>
  <c r="A20" i="94" s="1"/>
  <c r="A21" i="94" s="1"/>
  <c r="A22" i="94" s="1"/>
  <c r="A23" i="94" s="1"/>
  <c r="A24" i="94" s="1"/>
  <c r="A25" i="94" s="1"/>
  <c r="A26" i="94" s="1"/>
  <c r="A27" i="94" s="1"/>
  <c r="A28" i="94" s="1"/>
  <c r="A29" i="94" s="1"/>
  <c r="A30" i="94" s="1"/>
  <c r="A31" i="94" s="1"/>
  <c r="A32" i="94" s="1"/>
  <c r="A33" i="94" s="1"/>
  <c r="A34" i="94" s="1"/>
  <c r="A35" i="94" s="1"/>
  <c r="A36" i="94" s="1"/>
  <c r="A37" i="94" s="1"/>
  <c r="A38" i="94" s="1"/>
  <c r="A39" i="94" s="1"/>
  <c r="A40" i="94" s="1"/>
  <c r="A41" i="94" s="1"/>
  <c r="A42" i="94" s="1"/>
  <c r="A43" i="94" s="1"/>
  <c r="A44" i="94" s="1"/>
  <c r="A45" i="94" s="1"/>
  <c r="A46" i="94" s="1"/>
  <c r="A47" i="94" s="1"/>
  <c r="A48" i="94" s="1"/>
  <c r="A49" i="94" s="1"/>
  <c r="A50" i="94" s="1"/>
  <c r="A51" i="94" s="1"/>
  <c r="A52" i="94" s="1"/>
  <c r="A53" i="94" s="1"/>
  <c r="A54" i="94" s="1"/>
  <c r="A55" i="94" s="1"/>
  <c r="A56" i="94" s="1"/>
  <c r="A57" i="94" s="1"/>
  <c r="A58" i="94" s="1"/>
  <c r="A59" i="94" s="1"/>
  <c r="A60" i="94" s="1"/>
  <c r="A61" i="94" s="1"/>
  <c r="A62" i="94" s="1"/>
  <c r="A63" i="94" s="1"/>
  <c r="A64" i="94" s="1"/>
  <c r="A65" i="94" s="1"/>
  <c r="A66" i="94" s="1"/>
  <c r="A67" i="94" s="1"/>
  <c r="A68" i="94" s="1"/>
  <c r="A69" i="94" s="1"/>
  <c r="A70" i="94" s="1"/>
  <c r="A71" i="94" s="1"/>
  <c r="A72" i="94" s="1"/>
  <c r="A73" i="94" s="1"/>
  <c r="A74" i="94" s="1"/>
  <c r="A75" i="94" s="1"/>
  <c r="A76" i="94" s="1"/>
  <c r="A77" i="94" s="1"/>
  <c r="A78" i="94" s="1"/>
  <c r="A79" i="94" s="1"/>
  <c r="A80" i="94" s="1"/>
  <c r="A81" i="94" s="1"/>
  <c r="A82" i="94" s="1"/>
  <c r="A83" i="94" s="1"/>
  <c r="A84" i="94" s="1"/>
  <c r="A85" i="94" s="1"/>
  <c r="A86" i="94" s="1"/>
  <c r="A87" i="94" s="1"/>
  <c r="A88" i="94" s="1"/>
  <c r="A89" i="94" s="1"/>
  <c r="A90" i="94" s="1"/>
  <c r="A91" i="94" s="1"/>
  <c r="A92" i="94" s="1"/>
  <c r="A93" i="94" s="1"/>
  <c r="A94" i="94" s="1"/>
  <c r="A95" i="94" s="1"/>
  <c r="A96" i="94" s="1"/>
  <c r="A97" i="94" s="1"/>
  <c r="A98" i="94" s="1"/>
  <c r="A99" i="94" s="1"/>
  <c r="A100" i="94" s="1"/>
  <c r="A101" i="94" s="1"/>
  <c r="A102" i="94" s="1"/>
  <c r="A103" i="94" s="1"/>
  <c r="A104" i="94" s="1"/>
  <c r="A105" i="94" s="1"/>
  <c r="A106" i="94" s="1"/>
  <c r="A107" i="94" s="1"/>
  <c r="A108" i="94" s="1"/>
  <c r="A109" i="94" s="1"/>
  <c r="A110" i="94" s="1"/>
  <c r="A111" i="94" s="1"/>
  <c r="A112" i="94" s="1"/>
  <c r="A113" i="94" s="1"/>
  <c r="A114" i="94" s="1"/>
  <c r="A115" i="94" s="1"/>
  <c r="A116" i="94" s="1"/>
  <c r="A117" i="94" s="1"/>
  <c r="A118" i="94" s="1"/>
  <c r="A119" i="94" s="1"/>
  <c r="A120" i="94" s="1"/>
  <c r="A121" i="94" s="1"/>
  <c r="A122" i="94" s="1"/>
  <c r="A123" i="94" s="1"/>
  <c r="A124" i="94" s="1"/>
  <c r="A125" i="94" s="1"/>
  <c r="A126" i="94" s="1"/>
  <c r="A127" i="94" s="1"/>
  <c r="A128" i="94" s="1"/>
  <c r="A129" i="94" s="1"/>
  <c r="A130" i="94" s="1"/>
  <c r="A131" i="94" s="1"/>
  <c r="A132" i="94" s="1"/>
  <c r="A133" i="94" s="1"/>
  <c r="A134" i="94" s="1"/>
  <c r="A135" i="94" s="1"/>
  <c r="A136" i="94" s="1"/>
  <c r="A137" i="94" s="1"/>
  <c r="A138" i="94" s="1"/>
  <c r="A139" i="94" s="1"/>
  <c r="A140" i="94" s="1"/>
  <c r="A141" i="94" s="1"/>
  <c r="A142" i="94" s="1"/>
  <c r="A143" i="94" s="1"/>
  <c r="A144" i="94" s="1"/>
  <c r="A145" i="94" s="1"/>
  <c r="A146" i="94" s="1"/>
  <c r="A147" i="94" s="1"/>
  <c r="A148" i="94" s="1"/>
  <c r="A149" i="94" s="1"/>
  <c r="A150" i="94" s="1"/>
  <c r="A151" i="94" s="1"/>
  <c r="A152" i="94" s="1"/>
  <c r="A153" i="94" s="1"/>
  <c r="A154" i="94" s="1"/>
  <c r="A155" i="94" s="1"/>
  <c r="A156" i="94" s="1"/>
  <c r="A157" i="94" s="1"/>
  <c r="A158" i="94" s="1"/>
  <c r="A159" i="94" s="1"/>
  <c r="A160" i="94" s="1"/>
  <c r="A161" i="94" s="1"/>
  <c r="A162" i="94" s="1"/>
  <c r="A163" i="94" s="1"/>
  <c r="H111" i="76" l="1"/>
  <c r="H64" i="76"/>
  <c r="H32" i="76"/>
  <c r="H33" i="76"/>
  <c r="H162" i="76"/>
  <c r="H61" i="76"/>
  <c r="H156" i="76"/>
  <c r="H117" i="76"/>
  <c r="H116" i="76"/>
  <c r="H60" i="76"/>
  <c r="H157" i="76"/>
  <c r="H14" i="76"/>
  <c r="H160" i="76"/>
  <c r="H115" i="76"/>
  <c r="H153" i="76"/>
  <c r="H58" i="76"/>
  <c r="H159" i="76"/>
  <c r="H88" i="76"/>
  <c r="H16" i="76"/>
  <c r="H99" i="76"/>
  <c r="H75" i="76"/>
  <c r="H62" i="76"/>
  <c r="H147" i="76"/>
  <c r="H158" i="76"/>
  <c r="H161" i="76"/>
  <c r="H120" i="76"/>
  <c r="H119" i="76"/>
  <c r="H118" i="76"/>
  <c r="H133" i="76"/>
  <c r="H65" i="76"/>
  <c r="H22" i="76"/>
  <c r="H83" i="76"/>
  <c r="H123" i="76"/>
  <c r="H145" i="76"/>
  <c r="H85" i="76"/>
  <c r="H44" i="76"/>
  <c r="H34" i="76"/>
  <c r="H95" i="76"/>
  <c r="H106" i="76"/>
  <c r="H73" i="76"/>
  <c r="H134" i="76"/>
  <c r="H63" i="76"/>
  <c r="H50" i="76"/>
  <c r="H130" i="76"/>
  <c r="H92" i="76"/>
  <c r="H57" i="76"/>
  <c r="H103" i="76"/>
  <c r="H56" i="76"/>
  <c r="H84" i="76"/>
  <c r="H42" i="76"/>
  <c r="H74" i="76"/>
  <c r="H142" i="76"/>
  <c r="H39" i="76"/>
  <c r="H152" i="76"/>
  <c r="H113" i="76"/>
  <c r="G163" i="76"/>
  <c r="H45" i="76"/>
  <c r="H35" i="76"/>
  <c r="H24" i="76"/>
  <c r="H36" i="76"/>
  <c r="H25" i="76"/>
  <c r="H127" i="76"/>
  <c r="H54" i="76"/>
  <c r="H136" i="76"/>
  <c r="H67" i="76"/>
  <c r="H53" i="76"/>
  <c r="H72" i="76"/>
  <c r="H129" i="76"/>
  <c r="H102" i="76"/>
  <c r="H91" i="76"/>
  <c r="H51" i="76"/>
  <c r="H41" i="76"/>
  <c r="H21" i="76"/>
  <c r="H140" i="76"/>
  <c r="H131" i="76"/>
  <c r="H81" i="76"/>
  <c r="H149" i="76"/>
  <c r="H90" i="76"/>
  <c r="H71" i="76"/>
  <c r="H29" i="76"/>
  <c r="H20" i="76"/>
  <c r="H141" i="76"/>
  <c r="H112" i="76"/>
  <c r="H139" i="76"/>
  <c r="H98" i="76"/>
  <c r="H80" i="76"/>
  <c r="H70" i="76"/>
  <c r="H19" i="76"/>
  <c r="H109" i="76"/>
  <c r="H87" i="76"/>
  <c r="H155" i="76"/>
  <c r="H69" i="76"/>
  <c r="H154" i="76"/>
  <c r="H107" i="76"/>
  <c r="H96" i="76"/>
  <c r="H86" i="76"/>
  <c r="H76" i="76"/>
  <c r="H68" i="76"/>
  <c r="H46" i="76"/>
  <c r="H37" i="76"/>
  <c r="H26" i="76"/>
  <c r="H28" i="76"/>
  <c r="H148" i="76"/>
  <c r="H47" i="76"/>
  <c r="H38" i="76"/>
  <c r="H137" i="76"/>
  <c r="H97" i="76"/>
  <c r="H77" i="76"/>
  <c r="H27" i="76"/>
  <c r="H15" i="76"/>
  <c r="H128" i="76"/>
  <c r="H55" i="76"/>
  <c r="H144" i="76"/>
  <c r="H135" i="76"/>
  <c r="H105" i="76"/>
  <c r="H94" i="76"/>
  <c r="H13" i="76"/>
  <c r="H114" i="76"/>
  <c r="H104" i="76"/>
  <c r="H93" i="76"/>
  <c r="H52" i="76"/>
  <c r="H23" i="76"/>
  <c r="F11" i="76"/>
  <c r="H82" i="76"/>
  <c r="H43" i="76"/>
  <c r="H151" i="76"/>
  <c r="H126" i="76"/>
  <c r="H150" i="76"/>
  <c r="B41" i="76"/>
  <c r="B37" i="76"/>
  <c r="B65" i="76"/>
  <c r="B68" i="76" s="1"/>
  <c r="B69" i="76" s="1"/>
  <c r="B70" i="76" s="1"/>
  <c r="B71" i="76" s="1"/>
  <c r="B72" i="76" s="1"/>
  <c r="B73" i="76" s="1"/>
  <c r="B74" i="76" s="1"/>
  <c r="B75" i="76" s="1"/>
  <c r="B76" i="76" s="1"/>
  <c r="B67" i="76"/>
  <c r="B88" i="76"/>
  <c r="B91" i="76" s="1"/>
  <c r="B92" i="76" s="1"/>
  <c r="B93" i="76" s="1"/>
  <c r="B94" i="76" s="1"/>
  <c r="B95" i="76" s="1"/>
  <c r="B96" i="76" s="1"/>
  <c r="B97" i="76" s="1"/>
  <c r="B98" i="76" s="1"/>
  <c r="B99" i="76" s="1"/>
  <c r="B90" i="76"/>
  <c r="B128" i="76"/>
  <c r="B129" i="76" s="1"/>
  <c r="B130" i="76" s="1"/>
  <c r="B131" i="76" s="1"/>
  <c r="F49" i="95"/>
  <c r="H20" i="38"/>
  <c r="D22" i="95" s="1"/>
  <c r="H21" i="38"/>
  <c r="D23" i="95" s="1"/>
  <c r="H22" i="38"/>
  <c r="D24" i="95" s="1"/>
  <c r="H26" i="38"/>
  <c r="D28" i="95" s="1"/>
  <c r="H27" i="38"/>
  <c r="D29" i="95" s="1"/>
  <c r="H30" i="38"/>
  <c r="D32" i="95" s="1"/>
  <c r="H32" i="38"/>
  <c r="D33" i="95" s="1"/>
  <c r="H34" i="38"/>
  <c r="D34" i="95" s="1"/>
  <c r="H11" i="76" l="1"/>
  <c r="H165" i="76"/>
  <c r="B42" i="76"/>
  <c r="B38" i="76"/>
  <c r="B39" i="76" l="1"/>
  <c r="B44" i="76" s="1"/>
  <c r="B45" i="76" s="1"/>
  <c r="B46" i="76" s="1"/>
  <c r="B47" i="76" s="1"/>
  <c r="B43" i="76"/>
  <c r="J42" i="38"/>
  <c r="H10" i="38"/>
  <c r="D11" i="95" s="1"/>
  <c r="H13" i="38"/>
  <c r="D14" i="95" s="1"/>
  <c r="H14" i="38"/>
  <c r="D15" i="95" s="1"/>
  <c r="H15" i="38"/>
  <c r="D17" i="95" s="1"/>
  <c r="H16" i="38"/>
  <c r="D18" i="95" s="1"/>
  <c r="K42" i="38"/>
  <c r="I42" i="38"/>
  <c r="D16" i="95" l="1"/>
  <c r="A4" i="87" l="1"/>
  <c r="G7" i="38"/>
  <c r="F7" i="87" l="1"/>
  <c r="D20" i="94" l="1"/>
  <c r="D29" i="94"/>
  <c r="D152" i="94"/>
  <c r="D10" i="94" l="1"/>
  <c r="D26" i="87"/>
  <c r="E26" i="87" s="1"/>
  <c r="H166" i="76" s="1"/>
  <c r="H167" i="76" s="1"/>
  <c r="D21" i="87"/>
  <c r="E21" i="87" s="1"/>
  <c r="D22" i="87"/>
  <c r="E22" i="87" s="1"/>
  <c r="D24" i="87"/>
  <c r="E24" i="87" s="1"/>
  <c r="D17" i="87"/>
  <c r="E17" i="87" s="1"/>
  <c r="D18" i="87"/>
  <c r="E18" i="87" s="1"/>
  <c r="D19" i="87"/>
  <c r="E19" i="87" s="1"/>
  <c r="D12" i="87"/>
  <c r="E12" i="87" s="1"/>
  <c r="D13" i="87"/>
  <c r="E13" i="87" s="1"/>
  <c r="D14" i="87"/>
  <c r="E14" i="87" s="1"/>
  <c r="D15" i="87"/>
  <c r="E15" i="87" s="1"/>
  <c r="D10" i="87"/>
  <c r="E36" i="87"/>
  <c r="E38" i="87" s="1"/>
  <c r="E10" i="87" l="1"/>
  <c r="H28" i="87" s="1"/>
  <c r="E29" i="87" l="1"/>
  <c r="E41" i="87"/>
  <c r="E42" i="87" s="1"/>
  <c r="G32" i="87" s="1"/>
  <c r="J30" i="38" s="1"/>
  <c r="E32" i="87" l="1"/>
  <c r="G26" i="38"/>
  <c r="G34" i="38"/>
  <c r="G21" i="38"/>
  <c r="G32" i="38"/>
  <c r="G27" i="38"/>
  <c r="G22" i="38"/>
  <c r="G30" i="38"/>
  <c r="G16" i="38"/>
  <c r="G10" i="38"/>
  <c r="G14" i="38" l="1"/>
  <c r="G20" i="38"/>
  <c r="G15" i="38"/>
  <c r="G13" i="38" l="1"/>
  <c r="G10" i="87" l="1"/>
  <c r="H10" i="87" l="1"/>
  <c r="A4" i="38"/>
  <c r="A10" i="38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l="1"/>
  <c r="A33" i="38" s="1"/>
  <c r="A34" i="38" s="1"/>
  <c r="A35" i="38" s="1"/>
  <c r="A36" i="38" s="1"/>
  <c r="A3" i="87"/>
  <c r="A3" i="38"/>
  <c r="A9" i="87"/>
  <c r="A10" i="87" s="1"/>
  <c r="A11" i="87" s="1"/>
  <c r="A12" i="87" s="1"/>
  <c r="A13" i="87" s="1"/>
  <c r="A14" i="87" s="1"/>
  <c r="A15" i="87" s="1"/>
  <c r="A16" i="87" s="1"/>
  <c r="A17" i="87" s="1"/>
  <c r="A18" i="87" s="1"/>
  <c r="A19" i="87" s="1"/>
  <c r="A20" i="87" s="1"/>
  <c r="A21" i="87" s="1"/>
  <c r="A22" i="87" s="1"/>
  <c r="A23" i="87" s="1"/>
  <c r="A24" i="87" s="1"/>
  <c r="A25" i="87" s="1"/>
  <c r="A26" i="87" s="1"/>
  <c r="A27" i="87" s="1"/>
  <c r="A28" i="87" l="1"/>
  <c r="A29" i="87" s="1"/>
  <c r="A30" i="87" s="1"/>
  <c r="A31" i="87" s="1"/>
  <c r="A32" i="87" s="1"/>
  <c r="A33" i="87" s="1"/>
  <c r="A37" i="38"/>
  <c r="A38" i="38" s="1"/>
  <c r="A39" i="38" s="1"/>
  <c r="A40" i="38" s="1"/>
  <c r="A41" i="38" s="1"/>
  <c r="A42" i="38" s="1"/>
  <c r="A43" i="38" s="1"/>
  <c r="A44" i="38" s="1"/>
  <c r="G15" i="87"/>
  <c r="G13" i="87"/>
  <c r="G21" i="87"/>
  <c r="G24" i="87"/>
  <c r="G14" i="87"/>
  <c r="G18" i="87"/>
  <c r="G19" i="87"/>
  <c r="G26" i="87"/>
  <c r="G12" i="87"/>
  <c r="G17" i="87"/>
  <c r="G22" i="87"/>
  <c r="A34" i="87" l="1"/>
  <c r="A35" i="87" s="1"/>
  <c r="A36" i="87" s="1"/>
  <c r="A37" i="87" s="1"/>
  <c r="A38" i="87" s="1"/>
  <c r="A39" i="87" s="1"/>
  <c r="A40" i="87" s="1"/>
  <c r="A41" i="87" s="1"/>
  <c r="A42" i="87" s="1"/>
  <c r="A43" i="87" s="1"/>
  <c r="A44" i="87" s="1"/>
  <c r="A45" i="87" s="1"/>
  <c r="A46" i="87" s="1"/>
  <c r="A47" i="87" s="1"/>
  <c r="H26" i="87"/>
  <c r="H18" i="87"/>
  <c r="H19" i="87"/>
  <c r="H17" i="87"/>
  <c r="H24" i="87"/>
  <c r="H22" i="87"/>
  <c r="H21" i="87"/>
  <c r="J10" i="38"/>
  <c r="H13" i="87"/>
  <c r="J14" i="38"/>
  <c r="E15" i="95" s="1"/>
  <c r="H14" i="87"/>
  <c r="J15" i="38"/>
  <c r="E17" i="95" s="1"/>
  <c r="H12" i="87"/>
  <c r="J13" i="38"/>
  <c r="E14" i="95" s="1"/>
  <c r="H15" i="87"/>
  <c r="J16" i="38"/>
  <c r="E18" i="95" s="1"/>
  <c r="F14" i="95" l="1"/>
  <c r="F17" i="95"/>
  <c r="F18" i="95"/>
  <c r="E11" i="95"/>
  <c r="F15" i="95"/>
  <c r="E16" i="95"/>
  <c r="F16" i="95" s="1"/>
  <c r="F11" i="95" l="1"/>
  <c r="G23" i="38"/>
  <c r="H23" i="38" s="1"/>
  <c r="G17" i="38"/>
  <c r="G28" i="38"/>
  <c r="H28" i="38" s="1"/>
  <c r="H17" i="38" l="1"/>
  <c r="E32" i="95"/>
  <c r="F32" i="95" l="1"/>
  <c r="J20" i="38"/>
  <c r="E22" i="95" s="1"/>
  <c r="J22" i="38"/>
  <c r="E24" i="95" s="1"/>
  <c r="J21" i="38"/>
  <c r="E23" i="95" s="1"/>
  <c r="J34" i="38"/>
  <c r="E34" i="95" s="1"/>
  <c r="F23" i="95" l="1"/>
  <c r="F34" i="95"/>
  <c r="F24" i="95"/>
  <c r="F22" i="95"/>
  <c r="J26" i="38"/>
  <c r="E28" i="95" s="1"/>
  <c r="J27" i="38"/>
  <c r="E29" i="95" s="1"/>
  <c r="J23" i="38"/>
  <c r="F29" i="95" l="1"/>
  <c r="F28" i="95"/>
  <c r="J17" i="38"/>
  <c r="J28" i="38"/>
  <c r="J32" i="38" l="1"/>
  <c r="E33" i="95" s="1"/>
  <c r="F33" i="95" l="1"/>
  <c r="G36" i="38"/>
  <c r="H36" i="38" l="1"/>
  <c r="G37" i="38"/>
  <c r="J36" i="38"/>
  <c r="D104" i="94" l="1"/>
  <c r="D127" i="94"/>
  <c r="D94" i="94"/>
  <c r="D153" i="94"/>
  <c r="D22" i="94"/>
  <c r="D81" i="94"/>
  <c r="D128" i="94"/>
  <c r="D99" i="94"/>
  <c r="D92" i="94"/>
  <c r="D33" i="94"/>
  <c r="D78" i="94"/>
  <c r="D100" i="94"/>
  <c r="D145" i="94"/>
  <c r="D129" i="94"/>
  <c r="D76" i="94"/>
  <c r="D53" i="94"/>
  <c r="D56" i="94"/>
  <c r="D32" i="94"/>
  <c r="D70" i="94"/>
  <c r="D130" i="94"/>
  <c r="D55" i="94"/>
  <c r="D54" i="94"/>
  <c r="D27" i="94"/>
  <c r="D116" i="94"/>
  <c r="D103" i="94"/>
  <c r="D75" i="94"/>
  <c r="D151" i="94"/>
  <c r="D142" i="94"/>
  <c r="D150" i="94"/>
  <c r="D124" i="94"/>
  <c r="D98" i="94"/>
  <c r="D74" i="94"/>
  <c r="D52" i="94"/>
  <c r="D26" i="94"/>
  <c r="D118" i="94"/>
  <c r="D44" i="94"/>
  <c r="D46" i="94"/>
  <c r="D68" i="94"/>
  <c r="D93" i="94"/>
  <c r="D69" i="94"/>
  <c r="D45" i="94"/>
  <c r="D21" i="94"/>
  <c r="D35" i="94"/>
  <c r="D43" i="94"/>
  <c r="D89" i="94"/>
  <c r="D161" i="94"/>
  <c r="D36" i="94"/>
  <c r="D138" i="94"/>
  <c r="D88" i="94"/>
  <c r="D112" i="94"/>
  <c r="D41" i="94"/>
  <c r="D105" i="94"/>
  <c r="D14" i="94"/>
  <c r="D160" i="94"/>
  <c r="D137" i="94"/>
  <c r="D96" i="94"/>
  <c r="D154" i="94"/>
  <c r="D158" i="94"/>
  <c r="D87" i="94"/>
  <c r="D155" i="94"/>
  <c r="D24" i="94"/>
  <c r="D61" i="94"/>
  <c r="D63" i="94"/>
  <c r="D37" i="94"/>
  <c r="D39" i="94"/>
  <c r="D146" i="94"/>
  <c r="D117" i="94"/>
  <c r="D156" i="94"/>
  <c r="D34" i="94"/>
  <c r="D121" i="94"/>
  <c r="D58" i="94"/>
  <c r="D72" i="94"/>
  <c r="D148" i="94"/>
  <c r="D50" i="94"/>
  <c r="D85" i="94"/>
  <c r="D47" i="94"/>
  <c r="D143" i="94"/>
  <c r="D162" i="94"/>
  <c r="D91" i="94"/>
  <c r="D60" i="94"/>
  <c r="D132" i="94"/>
  <c r="D65" i="94"/>
  <c r="D25" i="94"/>
  <c r="D12" i="94"/>
  <c r="D64" i="94"/>
  <c r="D62" i="94"/>
  <c r="D13" i="94"/>
  <c r="D38" i="94"/>
  <c r="D135" i="94"/>
  <c r="D108" i="94"/>
  <c r="D23" i="94"/>
  <c r="D57" i="94"/>
  <c r="D163" i="94"/>
  <c r="D82" i="94"/>
  <c r="D15" i="94"/>
  <c r="D67" i="94"/>
  <c r="D42" i="94"/>
  <c r="D83" i="94"/>
  <c r="D97" i="94"/>
  <c r="D119" i="94"/>
  <c r="D106" i="94"/>
  <c r="D134" i="94"/>
  <c r="D107" i="94"/>
  <c r="D140" i="94"/>
  <c r="D159" i="94"/>
  <c r="D110" i="94"/>
  <c r="D86" i="94"/>
  <c r="D51" i="94"/>
  <c r="D71" i="94"/>
  <c r="D157" i="94"/>
  <c r="D95" i="94"/>
  <c r="D136" i="94"/>
  <c r="D131" i="94"/>
  <c r="D120" i="94"/>
  <c r="D113" i="94"/>
  <c r="D141" i="94"/>
  <c r="D149" i="94"/>
  <c r="D115" i="94"/>
  <c r="D73" i="94"/>
  <c r="D84" i="94"/>
  <c r="D19" i="94"/>
  <c r="D114" i="94"/>
  <c r="D18" i="94"/>
  <c r="K32" i="38" l="1"/>
  <c r="M32" i="38" s="1"/>
  <c r="N32" i="38" s="1"/>
  <c r="O32" i="38" s="1"/>
  <c r="F42" i="38" l="1"/>
  <c r="L42" i="38" l="1"/>
  <c r="M42" i="38" s="1"/>
  <c r="G42" i="38"/>
  <c r="N42" i="38" s="1"/>
  <c r="O42" i="38" s="1"/>
  <c r="K26" i="38" l="1"/>
  <c r="K20" i="38"/>
  <c r="K13" i="38"/>
  <c r="M20" i="38" l="1"/>
  <c r="M13" i="38"/>
  <c r="M26" i="38"/>
  <c r="K15" i="38"/>
  <c r="M15" i="38" s="1"/>
  <c r="N15" i="38" s="1"/>
  <c r="O15" i="38" s="1"/>
  <c r="K16" i="38"/>
  <c r="M16" i="38" s="1"/>
  <c r="N16" i="38" s="1"/>
  <c r="O16" i="38" s="1"/>
  <c r="K22" i="38"/>
  <c r="M22" i="38" s="1"/>
  <c r="N22" i="38" s="1"/>
  <c r="O22" i="38" s="1"/>
  <c r="K21" i="38"/>
  <c r="M21" i="38" s="1"/>
  <c r="N21" i="38" s="1"/>
  <c r="O21" i="38" s="1"/>
  <c r="K30" i="38"/>
  <c r="M30" i="38" s="1"/>
  <c r="N30" i="38" s="1"/>
  <c r="O30" i="38" s="1"/>
  <c r="K34" i="38"/>
  <c r="M34" i="38" s="1"/>
  <c r="N34" i="38" s="1"/>
  <c r="O34" i="38" s="1"/>
  <c r="K27" i="38"/>
  <c r="M27" i="38" s="1"/>
  <c r="N27" i="38" s="1"/>
  <c r="O27" i="38" s="1"/>
  <c r="K10" i="38"/>
  <c r="M28" i="38" l="1"/>
  <c r="N26" i="38"/>
  <c r="K14" i="38"/>
  <c r="M10" i="38"/>
  <c r="K28" i="38"/>
  <c r="N13" i="38"/>
  <c r="K23" i="38"/>
  <c r="M23" i="38"/>
  <c r="N20" i="38"/>
  <c r="O13" i="38" l="1"/>
  <c r="M14" i="38"/>
  <c r="K17" i="38"/>
  <c r="K36" i="38" s="1"/>
  <c r="N23" i="38"/>
  <c r="O23" i="38" s="1"/>
  <c r="O20" i="38"/>
  <c r="N28" i="38"/>
  <c r="O28" i="38" s="1"/>
  <c r="O26" i="38"/>
  <c r="N10" i="38"/>
  <c r="O10" i="38" l="1"/>
  <c r="N14" i="38"/>
  <c r="M17" i="38"/>
  <c r="M36" i="38" s="1"/>
  <c r="O14" i="38" l="1"/>
  <c r="N17" i="38"/>
  <c r="O17" i="38" l="1"/>
  <c r="N36" i="38"/>
  <c r="O36" i="38" s="1"/>
</calcChain>
</file>

<file path=xl/sharedStrings.xml><?xml version="1.0" encoding="utf-8"?>
<sst xmlns="http://schemas.openxmlformats.org/spreadsheetml/2006/main" count="792" uniqueCount="210">
  <si>
    <t>Residential</t>
  </si>
  <si>
    <t>Sec Gen Svc - Small</t>
  </si>
  <si>
    <t>Sec Gen Svc - Medium</t>
  </si>
  <si>
    <t>Sec Gen Svc - Large</t>
  </si>
  <si>
    <t>Sec Irrigation Svc</t>
  </si>
  <si>
    <t>Pri Gen Svc</t>
  </si>
  <si>
    <t>Pri Irrigation Svc</t>
  </si>
  <si>
    <t>Pri Interruptible Svc</t>
  </si>
  <si>
    <t>HV Interruptible Svc</t>
  </si>
  <si>
    <t>HV Gen Svc</t>
  </si>
  <si>
    <t>Lights</t>
  </si>
  <si>
    <t>Total</t>
  </si>
  <si>
    <t>Customer Class</t>
  </si>
  <si>
    <t>High Voltage</t>
  </si>
  <si>
    <t>Schedule</t>
  </si>
  <si>
    <t>Lamp Type</t>
  </si>
  <si>
    <t>Mercury Vapor</t>
  </si>
  <si>
    <t>Sodium Vapor</t>
  </si>
  <si>
    <t>a</t>
  </si>
  <si>
    <t>b</t>
  </si>
  <si>
    <t>c</t>
  </si>
  <si>
    <t>d</t>
  </si>
  <si>
    <t>Total High Voltage</t>
  </si>
  <si>
    <t>Line No.</t>
  </si>
  <si>
    <t>Total Secondary Voltage</t>
  </si>
  <si>
    <t>Total Primary Voltage</t>
  </si>
  <si>
    <t>Budget Increase</t>
  </si>
  <si>
    <t>PV / HV Transportation</t>
  </si>
  <si>
    <t>Wattage (W)</t>
  </si>
  <si>
    <t>003</t>
  </si>
  <si>
    <t>Compact Flourescent</t>
  </si>
  <si>
    <t>Sch 51E</t>
  </si>
  <si>
    <t>51E</t>
  </si>
  <si>
    <t>Light Emitting Diode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</si>
  <si>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</si>
  <si>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</si>
  <si>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</si>
  <si>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</si>
  <si>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</si>
  <si>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</si>
  <si>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</si>
  <si>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</si>
  <si>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 xml:space="preserve">52E </t>
  </si>
  <si>
    <t>Metal Halide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</si>
  <si>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</si>
  <si>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</si>
  <si>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</si>
  <si>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</si>
  <si>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</si>
  <si>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</si>
  <si>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</si>
  <si>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</si>
  <si>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</si>
  <si>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</si>
  <si>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</si>
  <si>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</si>
  <si>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</si>
  <si>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</si>
  <si>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</si>
  <si>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</si>
  <si>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50E</t>
  </si>
  <si>
    <t>53E</t>
  </si>
  <si>
    <t>Special Contract</t>
  </si>
  <si>
    <t>SC</t>
  </si>
  <si>
    <t>30 - 60</t>
  </si>
  <si>
    <t>Sch 120 Tariff Reference</t>
  </si>
  <si>
    <t>Sheet No. 120</t>
  </si>
  <si>
    <t>Sheet No. 120-A</t>
  </si>
  <si>
    <t>Sheet No. 120-B</t>
  </si>
  <si>
    <t>Sheet No. 120-C</t>
  </si>
  <si>
    <t>Sheet No. 120-D</t>
  </si>
  <si>
    <t>Sheet No. 120-E</t>
  </si>
  <si>
    <t>Sheet No. 120-F</t>
  </si>
  <si>
    <t>Sheet No. 120-G</t>
  </si>
  <si>
    <t>Smart LED</t>
  </si>
  <si>
    <t>Per kWh - All Lamps</t>
  </si>
  <si>
    <t>0-30</t>
  </si>
  <si>
    <t>0 - 30</t>
  </si>
  <si>
    <t>30.01 - 60</t>
  </si>
  <si>
    <t>Proposed Rider Rate Effective Start Date</t>
  </si>
  <si>
    <t>Budget Forecast</t>
  </si>
  <si>
    <t>F2023</t>
  </si>
  <si>
    <t>Forecasted Rate Year Start Date</t>
  </si>
  <si>
    <t>Forecasted Rate Year End Date</t>
  </si>
  <si>
    <t>Secondary Voltage</t>
  </si>
  <si>
    <t>Demand &lt;= 50 kW</t>
  </si>
  <si>
    <t>Demand &gt; 50 kW but &lt;= 350 kW</t>
  </si>
  <si>
    <r>
      <rPr>
        <b/>
        <sz val="8"/>
        <rFont val="Arial"/>
        <family val="2"/>
      </rPr>
      <t>25</t>
    </r>
    <r>
      <rPr>
        <sz val="8"/>
        <rFont val="Arial"/>
        <family val="2"/>
      </rPr>
      <t xml:space="preserve"> (11, 7A)</t>
    </r>
  </si>
  <si>
    <t>Demand &gt; 350 kW</t>
  </si>
  <si>
    <t>Seasonal Irrigation &amp; Drainage Pumping</t>
  </si>
  <si>
    <t>Primary Voltage</t>
  </si>
  <si>
    <t>General Service</t>
  </si>
  <si>
    <r>
      <rPr>
        <b/>
        <sz val="8"/>
        <rFont val="Arial"/>
        <family val="2"/>
      </rPr>
      <t>31</t>
    </r>
    <r>
      <rPr>
        <sz val="8"/>
        <rFont val="Arial"/>
        <family val="2"/>
      </rPr>
      <t xml:space="preserve"> (10)</t>
    </r>
  </si>
  <si>
    <t>Interruptible Total Electric Schools</t>
  </si>
  <si>
    <t>Lighting</t>
  </si>
  <si>
    <t>Interruptible</t>
  </si>
  <si>
    <t>Total Choice / Retail Wheeling</t>
  </si>
  <si>
    <r>
      <rPr>
        <b/>
        <sz val="8"/>
        <rFont val="Arial"/>
        <family val="2"/>
      </rPr>
      <t>26</t>
    </r>
    <r>
      <rPr>
        <sz val="8"/>
        <rFont val="Arial"/>
        <family val="2"/>
      </rPr>
      <t xml:space="preserve"> (12, 26P)</t>
    </r>
  </si>
  <si>
    <t>Total Projected Revenue
 w/ Current Sch. 120 Rates</t>
  </si>
  <si>
    <t>Total Projected Revenue
 w/ Proposed Sch. 120 Rates</t>
  </si>
  <si>
    <t>Projected Rate-Year
Revenue Impacts
from Proposed Rate Changes</t>
  </si>
  <si>
    <t xml:space="preserve"> </t>
  </si>
  <si>
    <t>449 - 459</t>
  </si>
  <si>
    <t>50 - 59</t>
  </si>
  <si>
    <t>PUGET SOUND ENERGY</t>
  </si>
  <si>
    <t>Revenue Requirement</t>
  </si>
  <si>
    <t>n/a</t>
  </si>
  <si>
    <t>Proposed Rate</t>
  </si>
  <si>
    <r>
      <rPr>
        <b/>
        <sz val="8"/>
        <rFont val="Arial"/>
        <family val="2"/>
      </rPr>
      <t>24</t>
    </r>
    <r>
      <rPr>
        <sz val="8"/>
        <rFont val="Arial"/>
        <family val="2"/>
      </rPr>
      <t xml:space="preserve"> (8, 324)</t>
    </r>
  </si>
  <si>
    <t>b = a * RevReq</t>
  </si>
  <si>
    <t>d = b / c</t>
  </si>
  <si>
    <t>Rate Spread &amp; Design</t>
  </si>
  <si>
    <t>Lamp Level Rate Design</t>
  </si>
  <si>
    <r>
      <t>Combined Energy &amp; Demand Allocation</t>
    </r>
    <r>
      <rPr>
        <vertAlign val="superscript"/>
        <sz val="8"/>
        <rFont val="Arial"/>
        <family val="2"/>
      </rPr>
      <t>[1]</t>
    </r>
  </si>
  <si>
    <r>
      <t xml:space="preserve">Special Contract </t>
    </r>
    <r>
      <rPr>
        <vertAlign val="superscript"/>
        <sz val="8"/>
        <rFont val="Arial"/>
        <family val="2"/>
      </rPr>
      <t>[2]</t>
    </r>
  </si>
  <si>
    <t>Electric Schedule 120 - Conservation Service</t>
  </si>
  <si>
    <t>cc</t>
  </si>
  <si>
    <t>Proposed Bill</t>
  </si>
  <si>
    <t>Change ($)</t>
  </si>
  <si>
    <t>(%)</t>
  </si>
  <si>
    <t>Sch 50</t>
  </si>
  <si>
    <t>Sch 51</t>
  </si>
  <si>
    <t>Sch 52</t>
  </si>
  <si>
    <t>Sch 53</t>
  </si>
  <si>
    <t>Sch 54</t>
  </si>
  <si>
    <t>Variance</t>
  </si>
  <si>
    <t>Proposed Schedule 120 Lamp Charge</t>
  </si>
  <si>
    <t>Annual Lamp Inventory</t>
  </si>
  <si>
    <t>Proposed Schedule 120 Lamp Revenue</t>
  </si>
  <si>
    <t>51S</t>
  </si>
  <si>
    <t>53S</t>
  </si>
  <si>
    <r>
      <t>Combined Energy &amp; Demand Allocation</t>
    </r>
    <r>
      <rPr>
        <b/>
        <vertAlign val="superscript"/>
        <sz val="8"/>
        <rFont val="Arial"/>
        <family val="2"/>
      </rPr>
      <t>[1]</t>
    </r>
  </si>
  <si>
    <t>f</t>
  </si>
  <si>
    <t>e</t>
  </si>
  <si>
    <t>non-449 Total Revenue Requirement</t>
  </si>
  <si>
    <t>Typical Residential Bill at 800 kWh</t>
  </si>
  <si>
    <t>First 600 kWh</t>
  </si>
  <si>
    <t>Over 600 kWh</t>
  </si>
  <si>
    <t>per kWh</t>
  </si>
  <si>
    <t>50E - Mercury Vapor</t>
  </si>
  <si>
    <t>51E - LED</t>
  </si>
  <si>
    <t>51S - Smart LED</t>
  </si>
  <si>
    <t>52E  - Sodium Vapor</t>
  </si>
  <si>
    <t>52E  - Metal Halide</t>
  </si>
  <si>
    <t>53E - Sodium Vapor</t>
  </si>
  <si>
    <t>53E - Metal Halide</t>
  </si>
  <si>
    <t>53E - LED</t>
  </si>
  <si>
    <t>54E - Sodium Vapor</t>
  </si>
  <si>
    <t>54E - LED</t>
  </si>
  <si>
    <t>55E &amp; 56E - Sodium Vapor</t>
  </si>
  <si>
    <t>55E &amp; 56E - Metal Halide</t>
  </si>
  <si>
    <t>55E &amp; 56E - LED</t>
  </si>
  <si>
    <t>58E &amp; 59E - LED</t>
  </si>
  <si>
    <t>58E &amp; 59E - Directional Sodium Vapor</t>
  </si>
  <si>
    <t>58E &amp; 59E - Directional Metal Halide</t>
  </si>
  <si>
    <t>58E &amp; 59E - Horizontal Sodium Vapor</t>
  </si>
  <si>
    <t>58E &amp; 59E - Horizontal Metal Halide</t>
  </si>
  <si>
    <t>Basic Charge</t>
  </si>
  <si>
    <t>Current 
Sch. 120 Rate</t>
  </si>
  <si>
    <t>Proposed 
Sch. 120 Rate</t>
  </si>
  <si>
    <t>Proposed
 Sch. 120 Rates</t>
  </si>
  <si>
    <r>
      <rPr>
        <b/>
        <sz val="8"/>
        <rFont val="Arial"/>
        <family val="2"/>
      </rPr>
      <t>7</t>
    </r>
    <r>
      <rPr>
        <sz val="8"/>
        <rFont val="Arial"/>
        <family val="2"/>
      </rPr>
      <t xml:space="preserve"> (307, 317, 327)</t>
    </r>
  </si>
  <si>
    <t>[Note 1] - Utilizes the allocaion factor as approved in Docket No UE-230139 which established a pro-rata allocation beteween demand and energy based on the Renewable Future Peak Credit - Levelized Fixed Cost from the 2022 GRC Allocators (Docket No. UE-220066) with a modification to include Special Contract loads. (See Note 2)</t>
  </si>
  <si>
    <t>[Note 2] - Although the Special Contract Load data was not  included as a portion of retail load in the 2022 GRC (Docket No. UE-220066), it has been added to the allocation factors here to reflect the Special Contract's intent for allocating the Schedule 120 Revenue Requirement to this customer.</t>
  </si>
  <si>
    <t>[Note 1] - Utilizes the allocaion factor as approved in Docket No UE-230139 which established a pro-rata allocation beteween demand and energy based on the allocators approved in the Lighting COS Model from the 2022 GRC  (Docket No. UE-220066).</t>
  </si>
  <si>
    <t>% Increase / (Decrease)</t>
  </si>
  <si>
    <t>Voltage Level</t>
  </si>
  <si>
    <t>Rate Schedule</t>
  </si>
  <si>
    <t>Current Rates</t>
  </si>
  <si>
    <t>Proposed Rates</t>
  </si>
  <si>
    <t>% Change</t>
  </si>
  <si>
    <t>Energy</t>
  </si>
  <si>
    <t>Demand</t>
  </si>
  <si>
    <t>na</t>
  </si>
  <si>
    <t>e = a * (c - b) + d</t>
  </si>
  <si>
    <t>f = e - d</t>
  </si>
  <si>
    <t>g = f / d</t>
  </si>
  <si>
    <t>Projected Schedule Revenue Impacts of Rate Change by Forecasted Energy</t>
  </si>
  <si>
    <t>Pass-Thru Trackers</t>
  </si>
  <si>
    <t>Current Bill</t>
  </si>
  <si>
    <t>Residential Bill Impacts</t>
  </si>
  <si>
    <t>Wattage</t>
  </si>
  <si>
    <t>Lighting Rates</t>
  </si>
  <si>
    <t>Irrigation</t>
  </si>
  <si>
    <t>Interruptible Schools</t>
  </si>
  <si>
    <t>Interruptible Service</t>
  </si>
  <si>
    <t>Choice / Retail Wheeling</t>
  </si>
  <si>
    <t>Special Contracts</t>
  </si>
  <si>
    <t>Total Retail Sales</t>
  </si>
  <si>
    <t>Firm Resale</t>
  </si>
  <si>
    <t>Total Sales</t>
  </si>
  <si>
    <r>
      <t xml:space="preserve">Lighting </t>
    </r>
    <r>
      <rPr>
        <b/>
        <vertAlign val="superscript"/>
        <sz val="8"/>
        <rFont val="Arial"/>
        <family val="2"/>
      </rPr>
      <t>[1]</t>
    </r>
  </si>
  <si>
    <t>Note [1] displayed energy determinates (kWh) and rates for Lighting (Sch. 50-59) are illustrative for rate impact noticing requirements.  Lighting charges are detailed on the "Lighting Rates" Tab.
Note [2] displayed energy determinates (kWh) and rates for Retail Wheeling (Sch. 449-459) are illustrative for rate impact purposes.  Retail Wheeling rates are designed and billed on a demand (kVA) basis as detailed on the "Retail Wheeling Rate Design" Tab.</t>
  </si>
  <si>
    <t>003 - Compact Flourescent</t>
  </si>
  <si>
    <t>Sch 55 &amp; Sch 56</t>
  </si>
  <si>
    <t>53S - Smart LED</t>
  </si>
  <si>
    <t>per W charge</t>
  </si>
  <si>
    <t>Lighting Allocation of Revenue Requirement</t>
  </si>
  <si>
    <t>Proposed Lighting Revenue</t>
  </si>
  <si>
    <t>Schedule &amp; Charge Type</t>
  </si>
  <si>
    <t>See Lighting Rates tab</t>
  </si>
  <si>
    <t>Scaling Factor [SF]</t>
  </si>
  <si>
    <t>g = e * f</t>
  </si>
  <si>
    <t>Increase / (Decrease)</t>
  </si>
  <si>
    <r>
      <t>Sch 258 - Transporation Rate Calculation - Effective</t>
    </r>
    <r>
      <rPr>
        <sz val="8"/>
        <color rgb="FF0033CC"/>
        <rFont val="Arial"/>
        <family val="2"/>
      </rPr>
      <t xml:space="preserve"> 5/1/2022</t>
    </r>
    <r>
      <rPr>
        <sz val="8"/>
        <rFont val="Arial"/>
        <family val="2"/>
      </rPr>
      <t xml:space="preserve"> to </t>
    </r>
    <r>
      <rPr>
        <sz val="8"/>
        <color rgb="FF0033CC"/>
        <rFont val="Arial"/>
        <family val="2"/>
      </rPr>
      <t>4/30/2026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[3]</t>
    </r>
  </si>
  <si>
    <t>[Note 3] - Schedule 258 requires that the 449-459 rates be reset every four years based on the change in the pervailing approved biennial CRAG budget and the biennial budget last used in 449-459 ratemaking. This requries a separate allocation process from other retail schedules revenue requirement. Details regarding the 449-459 exceptions can be found on Sch. 258.</t>
  </si>
  <si>
    <r>
      <t xml:space="preserve">Conservation </t>
    </r>
    <r>
      <rPr>
        <sz val="8"/>
        <color rgb="FF0033CC"/>
        <rFont val="Arial"/>
        <family val="2"/>
      </rPr>
      <t>2022-2023</t>
    </r>
    <r>
      <rPr>
        <sz val="8"/>
        <rFont val="Arial"/>
        <family val="2"/>
      </rPr>
      <t xml:space="preserve"> Biennial Budget ($M)</t>
    </r>
  </si>
  <si>
    <r>
      <t xml:space="preserve">Conservation </t>
    </r>
    <r>
      <rPr>
        <sz val="8"/>
        <color rgb="FF0033CC"/>
        <rFont val="Arial"/>
        <family val="2"/>
      </rPr>
      <t>2018-2019</t>
    </r>
    <r>
      <rPr>
        <sz val="8"/>
        <rFont val="Arial"/>
        <family val="2"/>
      </rPr>
      <t xml:space="preserve"> Biennial Budget ($M)</t>
    </r>
  </si>
  <si>
    <r>
      <t xml:space="preserve">Four Year Rate Effective </t>
    </r>
    <r>
      <rPr>
        <sz val="8"/>
        <color rgb="FF0033CC"/>
        <rFont val="Arial"/>
        <family val="2"/>
      </rPr>
      <t>5/1/2018</t>
    </r>
  </si>
  <si>
    <r>
      <t xml:space="preserve">Four Year Rate Effective </t>
    </r>
    <r>
      <rPr>
        <sz val="8"/>
        <color rgb="FF0033CC"/>
        <rFont val="Arial"/>
        <family val="2"/>
      </rPr>
      <t>5/1/2022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</si>
</sst>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0\ \¢"/>
    <numFmt numFmtId="169" formatCode="_(&quot;$&quot;* #,##0.00000_);_(&quot;$&quot;* \(#,##0.00000\);_(&quot;$&quot;* &quot;-&quot;??_);_(@_)"/>
    <numFmt numFmtId="170" formatCode="m/d/yy;@"/>
    <numFmt numFmtId="171" formatCode="0.000000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rgb="FF008080"/>
      <name val="Arial"/>
      <family val="2"/>
    </font>
    <font>
      <sz val="8"/>
      <color rgb="FFFF0000"/>
      <name val="Arial"/>
      <family val="2"/>
    </font>
    <font>
      <b/>
      <sz val="8"/>
      <color rgb="FF0033CC"/>
      <name val="Arial"/>
      <family val="2"/>
    </font>
    <font>
      <sz val="8"/>
      <color rgb="FF0033CC"/>
      <name val="Arial"/>
      <family val="2"/>
    </font>
    <font>
      <b/>
      <sz val="8"/>
      <color rgb="FF0000FF"/>
      <name val="Arial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b/>
      <sz val="8"/>
      <color rgb="FF008080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  <font>
      <b/>
      <vertAlign val="superscript"/>
      <sz val="8"/>
      <name val="Arial"/>
      <family val="2"/>
    </font>
    <font>
      <u val="singleAccounting"/>
      <sz val="8"/>
      <color rgb="FF008080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theme="0" tint="-0.34998626667073579"/>
      <name val="Arial"/>
      <family val="2"/>
    </font>
    <font>
      <u/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u val="singleAccounting"/>
      <sz val="8"/>
      <color rgb="FF0033CC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294">
    <xf numFmtId="0" fontId="0" fillId="0" borderId="0" xfId="0"/>
    <xf numFmtId="0" fontId="1" fillId="0" borderId="0" xfId="0" applyFont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indent="1"/>
    </xf>
    <xf numFmtId="0" fontId="1" fillId="0" borderId="0" xfId="0" quotePrefix="1" applyFont="1" applyFill="1" applyAlignment="1">
      <alignment horizontal="left" indent="1"/>
    </xf>
    <xf numFmtId="0" fontId="2" fillId="0" borderId="4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164" fontId="3" fillId="0" borderId="0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/>
    <xf numFmtId="0" fontId="1" fillId="0" borderId="0" xfId="0" quotePrefix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 indent="1"/>
    </xf>
    <xf numFmtId="4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/>
    <xf numFmtId="0" fontId="1" fillId="0" borderId="0" xfId="0" applyNumberFormat="1" applyFont="1" applyFill="1" applyBorder="1"/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/>
    <xf numFmtId="0" fontId="2" fillId="0" borderId="4" xfId="0" applyFont="1" applyFill="1" applyBorder="1" applyAlignment="1">
      <alignment horizontal="center" wrapText="1"/>
    </xf>
    <xf numFmtId="167" fontId="3" fillId="0" borderId="0" xfId="0" applyNumberFormat="1" applyFont="1" applyFill="1" applyBorder="1"/>
    <xf numFmtId="167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quotePrefix="1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10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0" fontId="8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left" indent="1"/>
    </xf>
    <xf numFmtId="0" fontId="2" fillId="0" borderId="0" xfId="0" applyFont="1" applyFill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164" fontId="1" fillId="0" borderId="0" xfId="0" applyNumberFormat="1" applyFont="1" applyFill="1" applyBorder="1" applyAlignment="1">
      <alignment horizontal="centerContinuous" vertical="center" wrapText="1"/>
    </xf>
    <xf numFmtId="164" fontId="4" fillId="0" borderId="0" xfId="0" applyNumberFormat="1" applyFont="1" applyFill="1" applyBorder="1" applyAlignment="1">
      <alignment horizontal="centerContinuous" vertical="center" wrapText="1"/>
    </xf>
    <xf numFmtId="44" fontId="12" fillId="0" borderId="0" xfId="0" applyNumberFormat="1" applyFont="1" applyFill="1" applyBorder="1"/>
    <xf numFmtId="44" fontId="12" fillId="0" borderId="0" xfId="0" quotePrefix="1" applyNumberFormat="1" applyFont="1" applyFill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65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1" fillId="0" borderId="0" xfId="0" quotePrefix="1" applyFont="1" applyFill="1" applyAlignment="1">
      <alignment horizontal="center" vertical="center" wrapText="1"/>
    </xf>
    <xf numFmtId="0" fontId="1" fillId="0" borderId="0" xfId="0" applyFont="1" applyFill="1" applyAlignment="1"/>
    <xf numFmtId="0" fontId="2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44" fontId="11" fillId="0" borderId="0" xfId="0" quotePrefix="1" applyNumberFormat="1" applyFont="1" applyAlignment="1">
      <alignment horizontal="left"/>
    </xf>
    <xf numFmtId="44" fontId="11" fillId="0" borderId="0" xfId="0" applyNumberFormat="1" applyFont="1"/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/>
    <xf numFmtId="43" fontId="4" fillId="0" borderId="0" xfId="0" applyNumberFormat="1" applyFont="1" applyFill="1" applyBorder="1"/>
    <xf numFmtId="0" fontId="2" fillId="0" borderId="0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0" xfId="0" quotePrefix="1" applyFont="1" applyFill="1" applyBorder="1" applyAlignment="1">
      <alignment horizontal="centerContinuous" vertical="center" wrapText="1"/>
    </xf>
    <xf numFmtId="44" fontId="11" fillId="0" borderId="0" xfId="0" applyNumberFormat="1" applyFont="1" applyFill="1" applyBorder="1" applyAlignment="1">
      <alignment horizontal="center" wrapText="1"/>
    </xf>
    <xf numFmtId="44" fontId="11" fillId="0" borderId="0" xfId="0" applyNumberFormat="1" applyFont="1" applyFill="1" applyBorder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44" fontId="12" fillId="0" borderId="4" xfId="0" quotePrefix="1" applyNumberFormat="1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164" fontId="1" fillId="0" borderId="4" xfId="0" applyNumberFormat="1" applyFont="1" applyFill="1" applyBorder="1" applyAlignment="1">
      <alignment horizontal="centerContinuous" vertical="center"/>
    </xf>
    <xf numFmtId="0" fontId="1" fillId="0" borderId="6" xfId="0" applyFont="1" applyFill="1" applyBorder="1"/>
    <xf numFmtId="0" fontId="1" fillId="0" borderId="6" xfId="0" quotePrefix="1" applyFont="1" applyFill="1" applyBorder="1" applyAlignment="1">
      <alignment horizontal="center"/>
    </xf>
    <xf numFmtId="0" fontId="1" fillId="0" borderId="6" xfId="0" quotePrefix="1" applyFont="1" applyFill="1" applyBorder="1" applyAlignment="1">
      <alignment horizontal="right"/>
    </xf>
    <xf numFmtId="167" fontId="1" fillId="0" borderId="6" xfId="0" applyNumberFormat="1" applyFont="1" applyFill="1" applyBorder="1"/>
    <xf numFmtId="164" fontId="1" fillId="0" borderId="6" xfId="0" applyNumberFormat="1" applyFont="1" applyFill="1" applyBorder="1"/>
    <xf numFmtId="0" fontId="1" fillId="0" borderId="3" xfId="0" applyFont="1" applyFill="1" applyBorder="1" applyAlignment="1">
      <alignment horizontal="centerContinuous" vertical="center"/>
    </xf>
    <xf numFmtId="0" fontId="1" fillId="0" borderId="3" xfId="0" quotePrefix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left"/>
    </xf>
    <xf numFmtId="164" fontId="4" fillId="0" borderId="0" xfId="0" applyNumberFormat="1" applyFont="1" applyFill="1" applyBorder="1"/>
    <xf numFmtId="164" fontId="1" fillId="0" borderId="1" xfId="0" quotePrefix="1" applyNumberFormat="1" applyFont="1" applyFill="1" applyBorder="1" applyAlignment="1">
      <alignment horizontal="centerContinuous" wrapText="1"/>
    </xf>
    <xf numFmtId="0" fontId="1" fillId="0" borderId="0" xfId="0" quotePrefix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quotePrefix="1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8" fontId="1" fillId="0" borderId="0" xfId="0" applyNumberFormat="1" applyFont="1" applyFill="1" applyBorder="1" applyAlignment="1">
      <alignment horizontal="centerContinuous"/>
    </xf>
    <xf numFmtId="44" fontId="19" fillId="0" borderId="4" xfId="0" quotePrefix="1" applyNumberFormat="1" applyFont="1" applyFill="1" applyBorder="1" applyAlignment="1">
      <alignment horizontal="centerContinuous" vertical="center"/>
    </xf>
    <xf numFmtId="166" fontId="2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 vertical="center"/>
    </xf>
    <xf numFmtId="4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/>
    <xf numFmtId="44" fontId="16" fillId="0" borderId="0" xfId="0" applyNumberFormat="1" applyFont="1" applyFill="1" applyBorder="1"/>
    <xf numFmtId="44" fontId="16" fillId="0" borderId="1" xfId="0" applyNumberFormat="1" applyFont="1" applyFill="1" applyBorder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10" fillId="0" borderId="0" xfId="0" applyFont="1" applyFill="1" applyAlignment="1">
      <alignment horizontal="centerContinuous"/>
    </xf>
    <xf numFmtId="0" fontId="3" fillId="0" borderId="0" xfId="0" applyFont="1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14" fontId="15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horizont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167" fontId="3" fillId="0" borderId="1" xfId="0" applyNumberFormat="1" applyFont="1" applyFill="1" applyBorder="1"/>
    <xf numFmtId="10" fontId="1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7" fontId="3" fillId="0" borderId="0" xfId="0" applyNumberFormat="1" applyFont="1" applyFill="1"/>
    <xf numFmtId="10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 vertical="center" indent="1"/>
    </xf>
    <xf numFmtId="167" fontId="3" fillId="0" borderId="0" xfId="0" applyNumberFormat="1" applyFont="1" applyFill="1"/>
    <xf numFmtId="167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167" fontId="3" fillId="0" borderId="1" xfId="0" applyNumberFormat="1" applyFont="1" applyFill="1" applyBorder="1"/>
    <xf numFmtId="0" fontId="6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67" fontId="16" fillId="0" borderId="0" xfId="0" applyNumberFormat="1" applyFont="1" applyFill="1"/>
    <xf numFmtId="10" fontId="1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167" fontId="16" fillId="0" borderId="3" xfId="0" applyNumberFormat="1" applyFont="1" applyFill="1" applyBorder="1"/>
    <xf numFmtId="164" fontId="16" fillId="0" borderId="3" xfId="0" applyNumberFormat="1" applyFont="1" applyFill="1" applyBorder="1"/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/>
    <xf numFmtId="0" fontId="18" fillId="0" borderId="0" xfId="0" applyFont="1" applyFill="1" applyAlignment="1">
      <alignment horizontal="left" wrapText="1"/>
    </xf>
    <xf numFmtId="0" fontId="16" fillId="0" borderId="0" xfId="0" applyFont="1" applyFill="1"/>
    <xf numFmtId="10" fontId="16" fillId="0" borderId="1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 vertical="center" indent="1"/>
    </xf>
    <xf numFmtId="0" fontId="16" fillId="0" borderId="0" xfId="0" quotePrefix="1" applyFont="1" applyFill="1" applyAlignment="1">
      <alignment horizontal="center"/>
    </xf>
    <xf numFmtId="0" fontId="16" fillId="0" borderId="0" xfId="0" quotePrefix="1" applyFont="1" applyFill="1" applyAlignment="1">
      <alignment horizontal="left"/>
    </xf>
    <xf numFmtId="0" fontId="1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 wrapText="1"/>
    </xf>
    <xf numFmtId="0" fontId="19" fillId="0" borderId="4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44" fontId="12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quotePrefix="1" applyNumberFormat="1" applyFont="1" applyFill="1" applyAlignment="1">
      <alignment horizontal="center"/>
    </xf>
    <xf numFmtId="167" fontId="3" fillId="0" borderId="0" xfId="0" applyNumberFormat="1" applyFont="1" applyFill="1" applyBorder="1"/>
    <xf numFmtId="164" fontId="1" fillId="0" borderId="0" xfId="0" applyNumberFormat="1" applyFont="1" applyFill="1" applyAlignment="1">
      <alignment horizontal="left"/>
    </xf>
    <xf numFmtId="169" fontId="3" fillId="0" borderId="0" xfId="0" applyNumberFormat="1" applyFont="1" applyFill="1" applyBorder="1"/>
    <xf numFmtId="0" fontId="19" fillId="0" borderId="0" xfId="0" applyFont="1" applyFill="1" applyBorder="1" applyAlignment="1">
      <alignment horizontal="centerContinuous" vertical="center"/>
    </xf>
    <xf numFmtId="0" fontId="1" fillId="0" borderId="0" xfId="0" applyFont="1" applyFill="1"/>
    <xf numFmtId="0" fontId="2" fillId="0" borderId="4" xfId="0" applyFont="1" applyFill="1" applyBorder="1" applyAlignment="1">
      <alignment horizontal="centerContinuous" wrapText="1"/>
    </xf>
    <xf numFmtId="164" fontId="2" fillId="0" borderId="4" xfId="0" quotePrefix="1" applyNumberFormat="1" applyFont="1" applyFill="1" applyBorder="1" applyAlignment="1">
      <alignment horizontal="center" wrapText="1"/>
    </xf>
    <xf numFmtId="0" fontId="2" fillId="0" borderId="4" xfId="0" quotePrefix="1" applyFont="1" applyFill="1" applyBorder="1" applyAlignment="1">
      <alignment horizontal="centerContinuous" wrapText="1"/>
    </xf>
    <xf numFmtId="0" fontId="2" fillId="0" borderId="4" xfId="0" quotePrefix="1" applyFont="1" applyFill="1" applyBorder="1" applyAlignment="1">
      <alignment horizontal="center" wrapText="1"/>
    </xf>
    <xf numFmtId="164" fontId="2" fillId="0" borderId="4" xfId="0" quotePrefix="1" applyNumberFormat="1" applyFont="1" applyFill="1" applyBorder="1" applyAlignment="1">
      <alignment horizontal="centerContinuous" wrapText="1"/>
    </xf>
    <xf numFmtId="164" fontId="3" fillId="0" borderId="1" xfId="0" applyNumberFormat="1" applyFont="1" applyFill="1" applyBorder="1"/>
    <xf numFmtId="167" fontId="3" fillId="0" borderId="1" xfId="0" applyNumberFormat="1" applyFont="1" applyFill="1" applyBorder="1" applyAlignment="1">
      <alignment horizontal="centerContinuous"/>
    </xf>
    <xf numFmtId="167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Continuous" vertical="center"/>
    </xf>
    <xf numFmtId="165" fontId="1" fillId="0" borderId="1" xfId="0" applyNumberFormat="1" applyFont="1" applyFill="1" applyBorder="1"/>
    <xf numFmtId="10" fontId="1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Continuous"/>
    </xf>
    <xf numFmtId="164" fontId="1" fillId="0" borderId="1" xfId="0" applyNumberFormat="1" applyFont="1" applyFill="1" applyBorder="1"/>
    <xf numFmtId="167" fontId="1" fillId="0" borderId="1" xfId="0" applyNumberFormat="1" applyFont="1" applyFill="1" applyBorder="1" applyAlignment="1">
      <alignment horizontal="centerContinuous" wrapText="1"/>
    </xf>
    <xf numFmtId="167" fontId="1" fillId="0" borderId="1" xfId="0" applyNumberFormat="1" applyFont="1" applyFill="1" applyBorder="1" applyAlignment="1">
      <alignment horizontal="centerContinuous"/>
    </xf>
    <xf numFmtId="167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Continuous"/>
    </xf>
    <xf numFmtId="164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centerContinuous" wrapText="1"/>
    </xf>
    <xf numFmtId="167" fontId="1" fillId="0" borderId="3" xfId="0" applyNumberFormat="1" applyFont="1" applyFill="1" applyBorder="1"/>
    <xf numFmtId="165" fontId="1" fillId="0" borderId="3" xfId="0" applyNumberFormat="1" applyFont="1" applyFill="1" applyBorder="1" applyAlignment="1">
      <alignment horizontal="centerContinuous"/>
    </xf>
    <xf numFmtId="165" fontId="1" fillId="0" borderId="3" xfId="0" applyNumberFormat="1" applyFont="1" applyFill="1" applyBorder="1"/>
    <xf numFmtId="10" fontId="1" fillId="0" borderId="3" xfId="0" applyNumberFormat="1" applyFont="1" applyFill="1" applyBorder="1" applyAlignment="1">
      <alignment horizontal="right"/>
    </xf>
    <xf numFmtId="44" fontId="11" fillId="0" borderId="0" xfId="0" quotePrefix="1" applyNumberFormat="1" applyFont="1" applyFill="1" applyBorder="1" applyAlignment="1">
      <alignment horizontal="centerContinuous" vertical="center"/>
    </xf>
    <xf numFmtId="44" fontId="11" fillId="0" borderId="0" xfId="0" quotePrefix="1" applyNumberFormat="1" applyFont="1" applyFill="1" applyBorder="1" applyAlignment="1">
      <alignment horizontal="center" vertical="center"/>
    </xf>
    <xf numFmtId="44" fontId="11" fillId="0" borderId="0" xfId="0" quotePrefix="1" applyNumberFormat="1" applyFont="1" applyFill="1" applyBorder="1" applyAlignment="1">
      <alignment horizontal="centerContinuous"/>
    </xf>
    <xf numFmtId="44" fontId="11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/>
    <xf numFmtId="43" fontId="1" fillId="0" borderId="0" xfId="0" quotePrefix="1" applyNumberFormat="1" applyFont="1" applyFill="1" applyBorder="1" applyAlignment="1"/>
    <xf numFmtId="10" fontId="1" fillId="0" borderId="0" xfId="0" applyNumberFormat="1" applyFont="1" applyFill="1" applyBorder="1"/>
    <xf numFmtId="0" fontId="2" fillId="0" borderId="4" xfId="0" quotePrefix="1" applyFont="1" applyFill="1" applyBorder="1" applyAlignment="1">
      <alignment horizontal="center" wrapText="1"/>
    </xf>
    <xf numFmtId="0" fontId="2" fillId="0" borderId="4" xfId="0" quotePrefix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44" fontId="3" fillId="0" borderId="0" xfId="0" applyNumberFormat="1" applyFont="1" applyFill="1" applyBorder="1"/>
    <xf numFmtId="44" fontId="1" fillId="0" borderId="0" xfId="0" applyNumberFormat="1" applyFont="1" applyFill="1" applyBorder="1"/>
    <xf numFmtId="41" fontId="3" fillId="0" borderId="0" xfId="0" applyNumberFormat="1" applyFont="1" applyFill="1"/>
    <xf numFmtId="165" fontId="1" fillId="0" borderId="0" xfId="0" applyNumberFormat="1" applyFont="1" applyFill="1"/>
    <xf numFmtId="164" fontId="1" fillId="0" borderId="0" xfId="0" applyNumberFormat="1" applyFont="1" applyFill="1"/>
    <xf numFmtId="41" fontId="6" fillId="0" borderId="0" xfId="0" applyNumberFormat="1" applyFont="1" applyFill="1"/>
    <xf numFmtId="167" fontId="1" fillId="0" borderId="0" xfId="0" applyNumberFormat="1" applyFont="1" applyFill="1" applyBorder="1"/>
    <xf numFmtId="169" fontId="1" fillId="0" borderId="0" xfId="0" applyNumberFormat="1" applyFont="1" applyFill="1" applyBorder="1"/>
    <xf numFmtId="41" fontId="4" fillId="0" borderId="0" xfId="0" applyNumberFormat="1" applyFont="1" applyFill="1"/>
    <xf numFmtId="44" fontId="1" fillId="0" borderId="0" xfId="0" applyNumberFormat="1" applyFont="1" applyFill="1" applyAlignment="1">
      <alignment horizontal="right"/>
    </xf>
    <xf numFmtId="44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Border="1"/>
    <xf numFmtId="0" fontId="1" fillId="0" borderId="2" xfId="0" quotePrefix="1" applyFont="1" applyFill="1" applyBorder="1" applyAlignment="1">
      <alignment horizontal="center" wrapText="1"/>
    </xf>
    <xf numFmtId="164" fontId="3" fillId="0" borderId="2" xfId="0" quotePrefix="1" applyNumberFormat="1" applyFont="1" applyFill="1" applyBorder="1" applyAlignment="1">
      <alignment horizontal="center" wrapText="1"/>
    </xf>
    <xf numFmtId="164" fontId="1" fillId="0" borderId="2" xfId="0" quotePrefix="1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/>
    <xf numFmtId="167" fontId="17" fillId="0" borderId="0" xfId="0" applyNumberFormat="1" applyFont="1" applyFill="1" applyBorder="1"/>
    <xf numFmtId="165" fontId="14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169" fontId="3" fillId="0" borderId="0" xfId="0" applyNumberFormat="1" applyFont="1" applyFill="1"/>
    <xf numFmtId="165" fontId="3" fillId="0" borderId="0" xfId="0" applyNumberFormat="1" applyFont="1" applyFill="1" applyBorder="1"/>
    <xf numFmtId="43" fontId="4" fillId="0" borderId="0" xfId="0" applyNumberFormat="1" applyFont="1" applyFill="1" applyBorder="1"/>
    <xf numFmtId="0" fontId="1" fillId="0" borderId="0" xfId="0" quotePrefix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165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quotePrefix="1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/>
    <xf numFmtId="44" fontId="1" fillId="0" borderId="0" xfId="1" applyFont="1" applyFill="1" applyBorder="1"/>
    <xf numFmtId="0" fontId="1" fillId="0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3CC"/>
      <color rgb="FF008080"/>
      <color rgb="FF81FFFF"/>
      <color rgb="FFD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89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1325880</xdr:colOff>
      <xdr:row>50</xdr:row>
      <xdr:rowOff>47731</xdr:rowOff>
    </xdr:from>
    <xdr:to>
      <xdr:col>5</xdr:col>
      <xdr:colOff>411480</xdr:colOff>
      <xdr:row>63</xdr:row>
      <xdr:rowOff>24369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4980" y="7896331"/>
          <a:ext cx="4084320" cy="16606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RASANEN\%23%20%20Rate%20Filings\Sch%20120%20-%20Conservation\2023\Compliance%20filing%20UE-230139\230139-Advice-2023-10-PSE-WP-2023-SCH120-RATE-DESIGN-3-01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RASANEN\%23%20Monthly%20Updates\Lamp%20Inventory\a11a%20-%20Lighting%20for%20Lamp%20Inventory%20Calculation_2024_F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RASANEN\%23%20%20Rate%20Filings\Rate%20Impacts\2024\2024_05_01\RateImpacts_Combined_E_Eff_05_01_24_FINAL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RASANEN\%23%20%20Rate%20Filings\Sch%20120%20-%20Conservation\2024\RevReq\v2\Final-Advice-2024-XX-PSE-WP-2024-SCH120-Electric-Rev-Req-(03-01-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hange Impact"/>
      <sheetName val="Proposed Revenue"/>
      <sheetName val="Typical Res Customer Sch 120"/>
      <sheetName val="Sch 120 Street &amp; Area Lighting"/>
      <sheetName val="Effective Rate by Schedule"/>
      <sheetName val="Current Year RR Allocation"/>
      <sheetName val="True-Up RR Allocation"/>
      <sheetName val="Projected Revenue"/>
      <sheetName val="Sch 258 Rate Summary"/>
      <sheetName val="Sch 258 RD"/>
      <sheetName val="Supporting WP &gt;"/>
      <sheetName val="Revenue Requirement (RR)"/>
      <sheetName val="2022 GRC Load Research - Energy"/>
      <sheetName val="2022 GRC Load Research - CP Dem"/>
      <sheetName val="230139-Advice-2023-10-PSE-WP-20"/>
    </sheetNames>
    <sheetDataSet>
      <sheetData sheetId="0">
        <row r="7">
          <cell r="G7">
            <v>5.0439999999999999E-3</v>
          </cell>
        </row>
      </sheetData>
      <sheetData sheetId="1"/>
      <sheetData sheetId="2"/>
      <sheetData sheetId="3">
        <row r="25">
          <cell r="G25">
            <v>0.5</v>
          </cell>
        </row>
        <row r="27">
          <cell r="G27">
            <v>2.2799999999999998</v>
          </cell>
        </row>
        <row r="28">
          <cell r="G28">
            <v>3.98</v>
          </cell>
        </row>
        <row r="29">
          <cell r="G29">
            <v>9.1</v>
          </cell>
        </row>
        <row r="30">
          <cell r="G30">
            <v>15.93</v>
          </cell>
        </row>
        <row r="33">
          <cell r="G33">
            <v>0.33999999999999997</v>
          </cell>
        </row>
        <row r="34">
          <cell r="G34">
            <v>1.02</v>
          </cell>
        </row>
        <row r="35">
          <cell r="G35">
            <v>1.7</v>
          </cell>
        </row>
        <row r="36">
          <cell r="G36">
            <v>2.38</v>
          </cell>
        </row>
        <row r="37">
          <cell r="G37">
            <v>3.0700000000000003</v>
          </cell>
        </row>
        <row r="38">
          <cell r="G38">
            <v>3.75</v>
          </cell>
        </row>
        <row r="39">
          <cell r="G39">
            <v>4.43</v>
          </cell>
        </row>
        <row r="40">
          <cell r="G40">
            <v>5.12</v>
          </cell>
        </row>
        <row r="41">
          <cell r="G41">
            <v>5.8</v>
          </cell>
        </row>
        <row r="42">
          <cell r="G42">
            <v>6.48</v>
          </cell>
        </row>
        <row r="43">
          <cell r="G43">
            <v>6.4988000000000004E-2</v>
          </cell>
        </row>
        <row r="46">
          <cell r="G46">
            <v>1.1299999999999999</v>
          </cell>
        </row>
        <row r="47">
          <cell r="G47">
            <v>1.6</v>
          </cell>
        </row>
        <row r="48">
          <cell r="G48">
            <v>2.2799999999999998</v>
          </cell>
        </row>
        <row r="49">
          <cell r="G49">
            <v>3.41</v>
          </cell>
        </row>
        <row r="50">
          <cell r="G50">
            <v>4.55</v>
          </cell>
        </row>
        <row r="51">
          <cell r="G51">
            <v>5.68</v>
          </cell>
        </row>
        <row r="52">
          <cell r="G52">
            <v>7.05</v>
          </cell>
        </row>
        <row r="53">
          <cell r="G53">
            <v>9.1</v>
          </cell>
        </row>
        <row r="55">
          <cell r="G55">
            <v>1.6</v>
          </cell>
        </row>
        <row r="56">
          <cell r="G56">
            <v>2.2799999999999998</v>
          </cell>
        </row>
        <row r="57">
          <cell r="G57">
            <v>3.41</v>
          </cell>
        </row>
        <row r="58">
          <cell r="G58">
            <v>3.98</v>
          </cell>
        </row>
        <row r="59">
          <cell r="G59">
            <v>5.68</v>
          </cell>
        </row>
        <row r="60">
          <cell r="G60">
            <v>9.1</v>
          </cell>
        </row>
        <row r="61">
          <cell r="G61">
            <v>22.74</v>
          </cell>
        </row>
        <row r="64">
          <cell r="G64">
            <v>1.1299999999999999</v>
          </cell>
        </row>
        <row r="65">
          <cell r="G65">
            <v>1.6</v>
          </cell>
        </row>
        <row r="66">
          <cell r="G66">
            <v>2.2799999999999998</v>
          </cell>
        </row>
        <row r="67">
          <cell r="G67">
            <v>3.41</v>
          </cell>
        </row>
        <row r="68">
          <cell r="G68">
            <v>4.55</v>
          </cell>
        </row>
        <row r="69">
          <cell r="G69">
            <v>5.68</v>
          </cell>
        </row>
        <row r="70">
          <cell r="G70">
            <v>7.05</v>
          </cell>
        </row>
        <row r="71">
          <cell r="G71">
            <v>9.1</v>
          </cell>
        </row>
        <row r="72">
          <cell r="G72">
            <v>22.74</v>
          </cell>
        </row>
        <row r="74">
          <cell r="G74">
            <v>1.6</v>
          </cell>
        </row>
        <row r="75">
          <cell r="G75">
            <v>2.2799999999999998</v>
          </cell>
        </row>
        <row r="76">
          <cell r="G76">
            <v>3.41</v>
          </cell>
        </row>
        <row r="77">
          <cell r="G77">
            <v>3.98</v>
          </cell>
        </row>
        <row r="78">
          <cell r="G78">
            <v>5.68</v>
          </cell>
        </row>
        <row r="79">
          <cell r="G79">
            <v>9.1</v>
          </cell>
        </row>
        <row r="81">
          <cell r="G81">
            <v>0.33999999999999997</v>
          </cell>
        </row>
        <row r="82">
          <cell r="G82">
            <v>1.02</v>
          </cell>
        </row>
        <row r="83">
          <cell r="G83">
            <v>1.7</v>
          </cell>
        </row>
        <row r="84">
          <cell r="G84">
            <v>2.38</v>
          </cell>
        </row>
        <row r="85">
          <cell r="G85">
            <v>3.0700000000000003</v>
          </cell>
        </row>
        <row r="86">
          <cell r="G86">
            <v>3.75</v>
          </cell>
        </row>
        <row r="87">
          <cell r="G87">
            <v>4.43</v>
          </cell>
        </row>
        <row r="88">
          <cell r="G88">
            <v>5.12</v>
          </cell>
        </row>
        <row r="89">
          <cell r="G89">
            <v>5.8</v>
          </cell>
        </row>
        <row r="90">
          <cell r="G90">
            <v>6.48</v>
          </cell>
        </row>
        <row r="91">
          <cell r="G91">
            <v>6.4988000000000004E-2</v>
          </cell>
        </row>
        <row r="94">
          <cell r="G94">
            <v>1.1299999999999999</v>
          </cell>
        </row>
        <row r="95">
          <cell r="G95">
            <v>1.6</v>
          </cell>
        </row>
        <row r="96">
          <cell r="G96">
            <v>2.2799999999999998</v>
          </cell>
        </row>
        <row r="97">
          <cell r="G97">
            <v>3.41</v>
          </cell>
        </row>
        <row r="98">
          <cell r="G98">
            <v>4.55</v>
          </cell>
        </row>
        <row r="99">
          <cell r="G99">
            <v>5.68</v>
          </cell>
        </row>
        <row r="100">
          <cell r="G100">
            <v>7.05</v>
          </cell>
        </row>
        <row r="101">
          <cell r="G101">
            <v>9.1</v>
          </cell>
        </row>
        <row r="102">
          <cell r="G102">
            <v>22.74</v>
          </cell>
        </row>
        <row r="104">
          <cell r="G104">
            <v>0.33999999999999997</v>
          </cell>
        </row>
        <row r="105">
          <cell r="G105">
            <v>1.02</v>
          </cell>
        </row>
        <row r="106">
          <cell r="G106">
            <v>1.7</v>
          </cell>
        </row>
        <row r="107">
          <cell r="G107">
            <v>2.38</v>
          </cell>
        </row>
        <row r="108">
          <cell r="G108">
            <v>3.0700000000000003</v>
          </cell>
        </row>
        <row r="109">
          <cell r="G109">
            <v>3.75</v>
          </cell>
        </row>
        <row r="110">
          <cell r="G110">
            <v>4.43</v>
          </cell>
        </row>
        <row r="111">
          <cell r="G111">
            <v>5.12</v>
          </cell>
        </row>
        <row r="112">
          <cell r="G112">
            <v>5.8</v>
          </cell>
        </row>
        <row r="113">
          <cell r="G113">
            <v>6.48</v>
          </cell>
        </row>
        <row r="116">
          <cell r="G116">
            <v>1.6</v>
          </cell>
        </row>
        <row r="117">
          <cell r="G117">
            <v>2.2799999999999998</v>
          </cell>
        </row>
        <row r="118">
          <cell r="G118">
            <v>3.42</v>
          </cell>
        </row>
        <row r="119">
          <cell r="G119">
            <v>4.5599999999999996</v>
          </cell>
        </row>
        <row r="120">
          <cell r="G120">
            <v>5.6999999999999993</v>
          </cell>
        </row>
        <row r="121">
          <cell r="G121">
            <v>9.1199999999999992</v>
          </cell>
        </row>
        <row r="123">
          <cell r="G123">
            <v>5.6999999999999993</v>
          </cell>
        </row>
        <row r="125">
          <cell r="G125">
            <v>0.35</v>
          </cell>
        </row>
        <row r="126">
          <cell r="G126">
            <v>1.03</v>
          </cell>
        </row>
        <row r="127">
          <cell r="G127">
            <v>1.71</v>
          </cell>
        </row>
        <row r="128">
          <cell r="G128">
            <v>2.39</v>
          </cell>
        </row>
        <row r="129">
          <cell r="G129">
            <v>3.08</v>
          </cell>
        </row>
        <row r="130">
          <cell r="G130">
            <v>3.76</v>
          </cell>
        </row>
        <row r="131">
          <cell r="G131">
            <v>4.4400000000000004</v>
          </cell>
        </row>
        <row r="132">
          <cell r="G132">
            <v>5.13</v>
          </cell>
        </row>
        <row r="133">
          <cell r="G133">
            <v>5.8100000000000005</v>
          </cell>
        </row>
        <row r="134">
          <cell r="G134">
            <v>6.5</v>
          </cell>
        </row>
        <row r="137">
          <cell r="G137">
            <v>4.2689999999999999E-2</v>
          </cell>
        </row>
        <row r="140">
          <cell r="G140">
            <v>1.6</v>
          </cell>
        </row>
        <row r="141">
          <cell r="G141">
            <v>2.2799999999999998</v>
          </cell>
        </row>
        <row r="142">
          <cell r="G142">
            <v>3.42</v>
          </cell>
        </row>
        <row r="143">
          <cell r="G143">
            <v>4.5599999999999996</v>
          </cell>
        </row>
        <row r="144">
          <cell r="G144">
            <v>5.6999999999999993</v>
          </cell>
        </row>
        <row r="145">
          <cell r="G145">
            <v>9.1199999999999992</v>
          </cell>
        </row>
        <row r="147">
          <cell r="G147">
            <v>2.2799999999999998</v>
          </cell>
        </row>
        <row r="148">
          <cell r="G148">
            <v>3.42</v>
          </cell>
        </row>
        <row r="149">
          <cell r="G149">
            <v>4.5599999999999996</v>
          </cell>
        </row>
        <row r="150">
          <cell r="G150">
            <v>5.6999999999999993</v>
          </cell>
        </row>
        <row r="151">
          <cell r="G151">
            <v>9.1199999999999992</v>
          </cell>
        </row>
        <row r="153">
          <cell r="G153">
            <v>3.9899999999999998</v>
          </cell>
        </row>
        <row r="154">
          <cell r="G154">
            <v>5.6999999999999993</v>
          </cell>
        </row>
        <row r="155">
          <cell r="G155">
            <v>9.1199999999999992</v>
          </cell>
        </row>
        <row r="156">
          <cell r="G156">
            <v>22.79</v>
          </cell>
        </row>
        <row r="158">
          <cell r="G158">
            <v>5.6999999999999993</v>
          </cell>
        </row>
        <row r="159">
          <cell r="G159">
            <v>9.1199999999999992</v>
          </cell>
        </row>
        <row r="161">
          <cell r="G161">
            <v>0.35</v>
          </cell>
        </row>
        <row r="162">
          <cell r="G162">
            <v>1.03</v>
          </cell>
        </row>
        <row r="163">
          <cell r="G163">
            <v>1.71</v>
          </cell>
        </row>
        <row r="164">
          <cell r="G164">
            <v>2.39</v>
          </cell>
        </row>
        <row r="165">
          <cell r="G165">
            <v>3.08</v>
          </cell>
        </row>
        <row r="166">
          <cell r="G166">
            <v>3.76</v>
          </cell>
        </row>
        <row r="167">
          <cell r="G167">
            <v>4.4400000000000004</v>
          </cell>
        </row>
        <row r="168">
          <cell r="G168">
            <v>5.13</v>
          </cell>
        </row>
        <row r="169">
          <cell r="G169">
            <v>5.8100000000000005</v>
          </cell>
        </row>
        <row r="170">
          <cell r="G170">
            <v>6.5</v>
          </cell>
        </row>
        <row r="171">
          <cell r="G171">
            <v>7.9799999999999995</v>
          </cell>
        </row>
        <row r="172">
          <cell r="G172">
            <v>10.26</v>
          </cell>
        </row>
        <row r="173">
          <cell r="G173">
            <v>12.54</v>
          </cell>
        </row>
        <row r="174">
          <cell r="G174">
            <v>14.82</v>
          </cell>
        </row>
        <row r="175">
          <cell r="G175">
            <v>17.100000000000001</v>
          </cell>
        </row>
        <row r="176">
          <cell r="G176">
            <v>19.38</v>
          </cell>
        </row>
      </sheetData>
      <sheetData sheetId="4">
        <row r="7">
          <cell r="CQ7">
            <v>5.0439999999999999E-3</v>
          </cell>
        </row>
        <row r="9">
          <cell r="CQ9">
            <v>4.2760000000000003E-3</v>
          </cell>
        </row>
        <row r="10">
          <cell r="CQ10">
            <v>4.3480000000000003E-3</v>
          </cell>
        </row>
        <row r="11">
          <cell r="CQ11">
            <v>3.9809999999999993E-3</v>
          </cell>
        </row>
        <row r="12">
          <cell r="CQ12">
            <v>4.5299999999999993E-3</v>
          </cell>
        </row>
        <row r="14">
          <cell r="CQ14">
            <v>3.8380000000000003E-3</v>
          </cell>
        </row>
        <row r="15">
          <cell r="CQ15">
            <v>2.624E-3</v>
          </cell>
        </row>
        <row r="16">
          <cell r="CQ16">
            <v>8.1499999999999997E-4</v>
          </cell>
        </row>
        <row r="18">
          <cell r="CQ18">
            <v>9.7300000000000012E-4</v>
          </cell>
        </row>
        <row r="19">
          <cell r="CQ19">
            <v>3.5689999999999997E-3</v>
          </cell>
        </row>
        <row r="21">
          <cell r="CQ21">
            <v>1.351E-3</v>
          </cell>
        </row>
        <row r="23">
          <cell r="CQ23">
            <v>4.2310000000000004E-3</v>
          </cell>
        </row>
        <row r="25">
          <cell r="CQ25">
            <v>2.323E-3</v>
          </cell>
        </row>
      </sheetData>
      <sheetData sheetId="5">
        <row r="7">
          <cell r="N7">
            <v>0.57470012658729575</v>
          </cell>
        </row>
        <row r="8">
          <cell r="N8">
            <v>0.1243221220032787</v>
          </cell>
        </row>
        <row r="9">
          <cell r="N9">
            <v>0.13360038566148688</v>
          </cell>
        </row>
        <row r="10">
          <cell r="N10">
            <v>7.718539396223284E-2</v>
          </cell>
        </row>
        <row r="11">
          <cell r="N11">
            <v>7.1675624697961214E-4</v>
          </cell>
        </row>
        <row r="12">
          <cell r="N12">
            <v>5.3904805259882019E-2</v>
          </cell>
        </row>
        <row r="13">
          <cell r="N13">
            <v>1.3007596218519128E-4</v>
          </cell>
        </row>
        <row r="14">
          <cell r="N14">
            <v>1.0421850415475889E-3</v>
          </cell>
        </row>
        <row r="16">
          <cell r="N16">
            <v>1.2895585176959594E-2</v>
          </cell>
        </row>
        <row r="18">
          <cell r="N18">
            <v>9.1755336108589403E-4</v>
          </cell>
        </row>
        <row r="19">
          <cell r="N19">
            <v>1.9069679920189889E-2</v>
          </cell>
        </row>
        <row r="23">
          <cell r="N23">
            <v>1.5153308168760491E-3</v>
          </cell>
        </row>
      </sheetData>
      <sheetData sheetId="6"/>
      <sheetData sheetId="7"/>
      <sheetData sheetId="8"/>
      <sheetData sheetId="9">
        <row r="20">
          <cell r="C20">
            <v>234.863</v>
          </cell>
        </row>
        <row r="21">
          <cell r="C21">
            <v>182</v>
          </cell>
        </row>
        <row r="26">
          <cell r="C26">
            <v>1.047E-3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p Inventory Pivot +Owner"/>
      <sheetName val="Lamp Inventory Pivot"/>
      <sheetName val="Lamp Inventory as of 02.2024"/>
      <sheetName val="LampMapping"/>
      <sheetName val="Analysis 1"/>
      <sheetName val="Original BW Pull"/>
      <sheetName val="Analysis 1+"/>
    </sheetNames>
    <sheetDataSet>
      <sheetData sheetId="0"/>
      <sheetData sheetId="1">
        <row r="5">
          <cell r="D5">
            <v>649</v>
          </cell>
        </row>
        <row r="6">
          <cell r="D6">
            <v>33</v>
          </cell>
        </row>
        <row r="7">
          <cell r="D7">
            <v>240</v>
          </cell>
        </row>
        <row r="8">
          <cell r="D8">
            <v>229</v>
          </cell>
        </row>
        <row r="9">
          <cell r="D9">
            <v>408</v>
          </cell>
        </row>
        <row r="10">
          <cell r="D10">
            <v>62884</v>
          </cell>
        </row>
        <row r="11">
          <cell r="D11">
            <v>35897</v>
          </cell>
        </row>
        <row r="12">
          <cell r="D12">
            <v>15040</v>
          </cell>
        </row>
        <row r="13">
          <cell r="D13">
            <v>7113</v>
          </cell>
        </row>
        <row r="14">
          <cell r="D14">
            <v>905</v>
          </cell>
        </row>
        <row r="15">
          <cell r="D15">
            <v>2319</v>
          </cell>
        </row>
        <row r="16">
          <cell r="D16">
            <v>959</v>
          </cell>
        </row>
        <row r="17">
          <cell r="D17">
            <v>74</v>
          </cell>
        </row>
        <row r="18">
          <cell r="D18">
            <v>947</v>
          </cell>
        </row>
        <row r="19">
          <cell r="D19">
            <v>152499</v>
          </cell>
        </row>
        <row r="20">
          <cell r="D20">
            <v>7987</v>
          </cell>
        </row>
        <row r="21">
          <cell r="D21">
            <v>112813</v>
          </cell>
        </row>
        <row r="22">
          <cell r="D22">
            <v>52631</v>
          </cell>
        </row>
        <row r="23">
          <cell r="D23">
            <v>10988</v>
          </cell>
        </row>
        <row r="24">
          <cell r="D24">
            <v>16314</v>
          </cell>
        </row>
        <row r="25">
          <cell r="D25">
            <v>1679</v>
          </cell>
        </row>
        <row r="26">
          <cell r="D26">
            <v>6867</v>
          </cell>
        </row>
        <row r="27">
          <cell r="D27">
            <v>838</v>
          </cell>
        </row>
        <row r="28">
          <cell r="D28">
            <v>50</v>
          </cell>
        </row>
        <row r="29">
          <cell r="D29">
            <v>2364</v>
          </cell>
        </row>
        <row r="30">
          <cell r="D30">
            <v>2450</v>
          </cell>
        </row>
        <row r="31">
          <cell r="D31">
            <v>404</v>
          </cell>
        </row>
        <row r="32">
          <cell r="D32">
            <v>684</v>
          </cell>
        </row>
        <row r="33">
          <cell r="D33">
            <v>216</v>
          </cell>
        </row>
        <row r="34">
          <cell r="D34">
            <v>0</v>
          </cell>
        </row>
        <row r="35">
          <cell r="D35">
            <v>42559</v>
          </cell>
        </row>
        <row r="36">
          <cell r="D36">
            <v>325021</v>
          </cell>
        </row>
        <row r="37">
          <cell r="D37">
            <v>39168</v>
          </cell>
        </row>
        <row r="38">
          <cell r="D38">
            <v>52444</v>
          </cell>
        </row>
        <row r="39">
          <cell r="D39">
            <v>20979</v>
          </cell>
        </row>
        <row r="40">
          <cell r="D40">
            <v>235</v>
          </cell>
        </row>
        <row r="41">
          <cell r="D41">
            <v>14431</v>
          </cell>
        </row>
        <row r="42">
          <cell r="D42">
            <v>48</v>
          </cell>
        </row>
        <row r="43">
          <cell r="D43">
            <v>1595</v>
          </cell>
        </row>
        <row r="44">
          <cell r="D44">
            <v>230234</v>
          </cell>
        </row>
        <row r="45">
          <cell r="D45">
            <v>14998</v>
          </cell>
        </row>
        <row r="46">
          <cell r="D46">
            <v>34477</v>
          </cell>
        </row>
        <row r="47">
          <cell r="D47">
            <v>21256</v>
          </cell>
        </row>
        <row r="48">
          <cell r="D48">
            <v>17354</v>
          </cell>
        </row>
        <row r="49">
          <cell r="D49">
            <v>5552</v>
          </cell>
        </row>
        <row r="50">
          <cell r="D50">
            <v>778</v>
          </cell>
        </row>
        <row r="51">
          <cell r="D51">
            <v>290</v>
          </cell>
        </row>
        <row r="52">
          <cell r="D52">
            <v>1790</v>
          </cell>
        </row>
        <row r="53">
          <cell r="D53">
            <v>2016760</v>
          </cell>
        </row>
        <row r="54">
          <cell r="D54">
            <v>422</v>
          </cell>
        </row>
        <row r="55">
          <cell r="D55">
            <v>1778</v>
          </cell>
        </row>
        <row r="56">
          <cell r="D56">
            <v>9944</v>
          </cell>
        </row>
        <row r="57">
          <cell r="D57">
            <v>3449</v>
          </cell>
        </row>
        <row r="58">
          <cell r="D58">
            <v>3300</v>
          </cell>
        </row>
        <row r="59">
          <cell r="D59">
            <v>3581</v>
          </cell>
        </row>
        <row r="60">
          <cell r="D60">
            <v>670</v>
          </cell>
        </row>
        <row r="61">
          <cell r="D61">
            <v>6770</v>
          </cell>
        </row>
        <row r="62">
          <cell r="D62">
            <v>2764</v>
          </cell>
        </row>
        <row r="63">
          <cell r="D63">
            <v>31614</v>
          </cell>
        </row>
        <row r="64">
          <cell r="D64">
            <v>2651</v>
          </cell>
        </row>
        <row r="65">
          <cell r="D65">
            <v>35407</v>
          </cell>
        </row>
        <row r="66">
          <cell r="D66">
            <v>12747</v>
          </cell>
        </row>
        <row r="67">
          <cell r="D67">
            <v>5352</v>
          </cell>
        </row>
        <row r="68">
          <cell r="D68">
            <v>1866</v>
          </cell>
        </row>
        <row r="69">
          <cell r="D69">
            <v>468</v>
          </cell>
        </row>
        <row r="70">
          <cell r="D70">
            <v>47</v>
          </cell>
        </row>
        <row r="71">
          <cell r="D71">
            <v>3895</v>
          </cell>
        </row>
        <row r="72">
          <cell r="D72">
            <v>6639</v>
          </cell>
        </row>
        <row r="73">
          <cell r="D73">
            <v>163</v>
          </cell>
        </row>
        <row r="74">
          <cell r="D74">
            <v>40180</v>
          </cell>
        </row>
        <row r="75">
          <cell r="D75">
            <v>5432</v>
          </cell>
        </row>
        <row r="76">
          <cell r="D76">
            <v>11220</v>
          </cell>
        </row>
        <row r="77">
          <cell r="D77">
            <v>1183</v>
          </cell>
        </row>
        <row r="78">
          <cell r="D78">
            <v>414</v>
          </cell>
        </row>
        <row r="79">
          <cell r="D79">
            <v>80</v>
          </cell>
        </row>
        <row r="80">
          <cell r="D80">
            <v>41</v>
          </cell>
        </row>
        <row r="81">
          <cell r="D81">
            <v>9512</v>
          </cell>
        </row>
        <row r="82">
          <cell r="D82">
            <v>404</v>
          </cell>
        </row>
        <row r="83">
          <cell r="D83">
            <v>2079</v>
          </cell>
        </row>
        <row r="84">
          <cell r="D84">
            <v>5266504</v>
          </cell>
        </row>
        <row r="85">
          <cell r="D85">
            <v>1835</v>
          </cell>
        </row>
        <row r="86">
          <cell r="D86">
            <v>114</v>
          </cell>
        </row>
        <row r="87">
          <cell r="D87">
            <v>584</v>
          </cell>
        </row>
        <row r="88">
          <cell r="D88">
            <v>119</v>
          </cell>
        </row>
        <row r="89">
          <cell r="D89">
            <v>1635</v>
          </cell>
        </row>
        <row r="90">
          <cell r="D90">
            <v>2918</v>
          </cell>
        </row>
        <row r="91">
          <cell r="D91">
            <v>441</v>
          </cell>
        </row>
        <row r="92">
          <cell r="D92">
            <v>3843</v>
          </cell>
        </row>
        <row r="93">
          <cell r="D93">
            <v>163</v>
          </cell>
        </row>
        <row r="94">
          <cell r="D94">
            <v>82</v>
          </cell>
        </row>
        <row r="95">
          <cell r="D95">
            <v>358</v>
          </cell>
        </row>
        <row r="96">
          <cell r="D96">
            <v>523</v>
          </cell>
        </row>
        <row r="97">
          <cell r="D97">
            <v>36</v>
          </cell>
        </row>
        <row r="98">
          <cell r="D98">
            <v>173</v>
          </cell>
        </row>
        <row r="99">
          <cell r="D99">
            <v>907</v>
          </cell>
        </row>
        <row r="100">
          <cell r="D100">
            <v>1361</v>
          </cell>
        </row>
        <row r="101">
          <cell r="D101">
            <v>43</v>
          </cell>
        </row>
        <row r="102">
          <cell r="D102">
            <v>455</v>
          </cell>
        </row>
        <row r="103">
          <cell r="D103">
            <v>81</v>
          </cell>
        </row>
        <row r="104">
          <cell r="D104">
            <v>843</v>
          </cell>
        </row>
        <row r="105">
          <cell r="D105">
            <v>190</v>
          </cell>
        </row>
        <row r="106">
          <cell r="D106">
            <v>1792</v>
          </cell>
        </row>
        <row r="107">
          <cell r="D107">
            <v>405</v>
          </cell>
        </row>
        <row r="108">
          <cell r="D108">
            <v>170</v>
          </cell>
        </row>
        <row r="109">
          <cell r="D109">
            <v>253</v>
          </cell>
        </row>
        <row r="110">
          <cell r="D110">
            <v>8826350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-&gt;"/>
      <sheetName val="Inputs"/>
      <sheetName val="Impacts-&gt;"/>
      <sheetName val="Rate Impacts (Final Notice)"/>
      <sheetName val="Rate Impacts (Customer Notice)"/>
      <sheetName val="Rate Impacts"/>
      <sheetName val="RES Impacts"/>
      <sheetName val="Rates-&gt;"/>
      <sheetName val="Prior Rates"/>
      <sheetName val="Current Rates - All"/>
      <sheetName val="Proposed Rates - All"/>
      <sheetName val="Current Rates"/>
      <sheetName val="Proposed Rates"/>
      <sheetName val="Revenue-&gt;"/>
      <sheetName val="Net Revenue"/>
      <sheetName val="Revenue @ Current rates"/>
      <sheetName val="Revenue @ Proposed rates"/>
      <sheetName val="Final Revenue @ Proposed Rates"/>
      <sheetName val="Forecast-&gt;"/>
      <sheetName val="F2023 kWh Data"/>
      <sheetName val="F2023 kW-kVa Data"/>
      <sheetName val="Schedules-&gt;"/>
      <sheetName val="GRC"/>
      <sheetName val="Sch 95"/>
      <sheetName val="Sch 95 Supp"/>
      <sheetName val="Sch 95A"/>
      <sheetName val="Sch 120"/>
      <sheetName val="Sch 129"/>
      <sheetName val="Sch 129 Additional Funding"/>
      <sheetName val="Sch 129D"/>
      <sheetName val="Sch 137"/>
      <sheetName val="Sch 140"/>
      <sheetName val="Sch 141A"/>
      <sheetName val="Sch 141CEI"/>
      <sheetName val="Sch 141COL"/>
      <sheetName val="Sch 141N"/>
      <sheetName val="Sch 141R"/>
      <sheetName val="Sch 141PFG"/>
      <sheetName val="Sch 141TEP"/>
      <sheetName val="Sch 141Z"/>
      <sheetName val="Sch 142"/>
      <sheetName val="Sch 142 Supp"/>
      <sheetName val="Sch 194"/>
      <sheetName val="Sch (Template)"/>
    </sheetNames>
    <sheetDataSet>
      <sheetData sheetId="0"/>
      <sheetData sheetId="1"/>
      <sheetData sheetId="2"/>
      <sheetData sheetId="3"/>
      <sheetData sheetId="4"/>
      <sheetData sheetId="5">
        <row r="11">
          <cell r="E11">
            <v>11203510559.836071</v>
          </cell>
          <cell r="H11">
            <v>1558248424.9742928</v>
          </cell>
        </row>
        <row r="14">
          <cell r="E14">
            <v>2760323642.6246891</v>
          </cell>
          <cell r="H14">
            <v>371358282.71703464</v>
          </cell>
        </row>
        <row r="15">
          <cell r="E15">
            <v>2499149.8928571427</v>
          </cell>
          <cell r="H15">
            <v>314144.83614314877</v>
          </cell>
        </row>
        <row r="16">
          <cell r="E16">
            <v>2956546677.8799844</v>
          </cell>
          <cell r="H16">
            <v>390186760.26813138</v>
          </cell>
        </row>
        <row r="17">
          <cell r="E17">
            <v>1976059702.4320197</v>
          </cell>
          <cell r="H17">
            <v>237477248.70210776</v>
          </cell>
        </row>
        <row r="18">
          <cell r="E18">
            <v>15030637.337107176</v>
          </cell>
          <cell r="H18">
            <v>1798525.9109019253</v>
          </cell>
        </row>
        <row r="22">
          <cell r="E22">
            <v>1414726531.7689974</v>
          </cell>
          <cell r="H22">
            <v>164933196.06561378</v>
          </cell>
        </row>
        <row r="23">
          <cell r="E23">
            <v>4440266.6219169199</v>
          </cell>
          <cell r="H23">
            <v>426250.90523892164</v>
          </cell>
        </row>
        <row r="24">
          <cell r="E24">
            <v>122744427.38210531</v>
          </cell>
          <cell r="H24">
            <v>14580163.945268542</v>
          </cell>
        </row>
        <row r="28">
          <cell r="E28">
            <v>96942309.823676795</v>
          </cell>
          <cell r="H28">
            <v>8491307.2348099165</v>
          </cell>
        </row>
        <row r="29">
          <cell r="E29">
            <v>534795351.78868973</v>
          </cell>
          <cell r="H29">
            <v>48820063.769156851</v>
          </cell>
        </row>
        <row r="32">
          <cell r="E32">
            <v>1972429157.4558516</v>
          </cell>
          <cell r="H32">
            <v>12591348.984712183</v>
          </cell>
        </row>
        <row r="33">
          <cell r="E33">
            <v>304684283.88728809</v>
          </cell>
          <cell r="H33">
            <v>6245198.954628231</v>
          </cell>
        </row>
        <row r="34">
          <cell r="E34">
            <v>67443601.461170837</v>
          </cell>
          <cell r="H34">
            <v>23248217.114451002</v>
          </cell>
        </row>
        <row r="36">
          <cell r="E36">
            <v>23432176300.192425</v>
          </cell>
        </row>
        <row r="38">
          <cell r="E38">
            <v>6729042.7678309083</v>
          </cell>
        </row>
        <row r="42">
          <cell r="E42">
            <v>23438905342.960255</v>
          </cell>
        </row>
      </sheetData>
      <sheetData sheetId="6">
        <row r="8">
          <cell r="C8">
            <v>7.49</v>
          </cell>
          <cell r="D8">
            <v>53.66</v>
          </cell>
          <cell r="E8">
            <v>21.77</v>
          </cell>
          <cell r="F8">
            <v>26.21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A3" t="str">
            <v>UE-</v>
          </cell>
        </row>
        <row r="11">
          <cell r="C11" t="str">
            <v>7 (307) (317) (327)</v>
          </cell>
        </row>
        <row r="14">
          <cell r="C14" t="str">
            <v>08 (24) (324)</v>
          </cell>
        </row>
        <row r="15">
          <cell r="C15" t="str">
            <v>7A</v>
          </cell>
        </row>
        <row r="16">
          <cell r="C16" t="str">
            <v>11 / 25</v>
          </cell>
        </row>
        <row r="17">
          <cell r="C17" t="str">
            <v>12 (26) (26P)</v>
          </cell>
        </row>
        <row r="18">
          <cell r="C18">
            <v>29</v>
          </cell>
        </row>
        <row r="22">
          <cell r="C22" t="str">
            <v>10 (31)</v>
          </cell>
        </row>
        <row r="23">
          <cell r="C23">
            <v>35</v>
          </cell>
        </row>
        <row r="24">
          <cell r="C24">
            <v>43</v>
          </cell>
        </row>
        <row r="28">
          <cell r="C28">
            <v>46</v>
          </cell>
        </row>
        <row r="29">
          <cell r="C29">
            <v>49</v>
          </cell>
        </row>
        <row r="32">
          <cell r="C32" t="str">
            <v>448 - 459</v>
          </cell>
        </row>
        <row r="33">
          <cell r="C33" t="str">
            <v>Special Contract</v>
          </cell>
        </row>
        <row r="34">
          <cell r="C34" t="str">
            <v>50 - 59</v>
          </cell>
        </row>
        <row r="38">
          <cell r="C38">
            <v>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First"/>
      <sheetName val="CurYr (CY) vs. PriorYr (PY) ==&gt;"/>
      <sheetName val="Summary"/>
      <sheetName val="PY True-up "/>
      <sheetName val="Info to Calc CY ==&gt;"/>
      <sheetName val="CY Rev Req ==&gt;"/>
      <sheetName val="CY Rev Req Non-449"/>
      <sheetName val="CY Rev Remove 449"/>
      <sheetName val="Sch 95A Bal"/>
      <sheetName val="2024 Budget UE-230892"/>
      <sheetName val="2023 Budget  UE-210822"/>
      <sheetName val="CY Conv Fctr "/>
      <sheetName val="Calculate CY True-Up ==&gt;"/>
      <sheetName val="CY True-Up"/>
      <sheetName val="22-23 Load True-Up ==&gt;"/>
      <sheetName val="PY Rev Req Non-449 (UE-230139)"/>
      <sheetName val="PY Rev Remove 449"/>
      <sheetName val="2023 Collections"/>
      <sheetName val="AC 1820621"/>
      <sheetName val="PY COS"/>
      <sheetName val="F2023 Load Forecast"/>
      <sheetName val="258 Cons Tbl 22-23"/>
      <sheetName val="Actual v Est ==&gt;"/>
      <sheetName val="PY Actual Program Costs"/>
      <sheetName val="True-up Est in PY Filing ==&gt;"/>
      <sheetName val="PY Est - Actual v Est"/>
      <sheetName val="Estimate Used in PY Filing"/>
      <sheetName val="Act Sch 120 Collctns Feb-Apr 23"/>
    </sheetNames>
    <sheetDataSet>
      <sheetData sheetId="0"/>
      <sheetData sheetId="1"/>
      <sheetData sheetId="2">
        <row r="28">
          <cell r="C28">
            <v>118825089.8805231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>
    <row r="1" spans="1:1" x14ac:dyDescent="0.2">
      <c r="A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74"/>
  <sheetViews>
    <sheetView tabSelected="1" zoomScale="200" zoomScaleNormal="200" workbookViewId="0">
      <selection activeCell="K11" sqref="K11"/>
    </sheetView>
  </sheetViews>
  <sheetFormatPr defaultColWidth="6.42578125" defaultRowHeight="11.25" x14ac:dyDescent="0.2"/>
  <cols>
    <col min="1" max="1" width="6.140625" style="130" bestFit="1" customWidth="1"/>
    <col min="2" max="2" width="25" style="130" customWidth="1"/>
    <col min="3" max="3" width="14.42578125" style="130" bestFit="1" customWidth="1"/>
    <col min="4" max="4" width="13.5703125" style="130" customWidth="1"/>
    <col min="5" max="5" width="14.5703125" style="130" customWidth="1"/>
    <col min="6" max="6" width="10.42578125" style="130" customWidth="1"/>
    <col min="7" max="7" width="16.5703125" style="130" bestFit="1" customWidth="1"/>
    <col min="8" max="16384" width="6.42578125" style="130"/>
  </cols>
  <sheetData>
    <row r="1" spans="1:7" x14ac:dyDescent="0.2">
      <c r="A1" s="129" t="s">
        <v>104</v>
      </c>
      <c r="B1" s="129"/>
      <c r="C1" s="129"/>
      <c r="D1" s="129"/>
      <c r="E1" s="129"/>
      <c r="F1" s="129"/>
    </row>
    <row r="2" spans="1:7" x14ac:dyDescent="0.2">
      <c r="A2" s="129" t="str">
        <f ca="1">RIGHT(CELL("filename",A1),LEN(CELL("filename",A1))-SEARCH("]",CELL("filename",A1)))</f>
        <v>Sch 120 Rates</v>
      </c>
      <c r="B2" s="129"/>
      <c r="C2" s="129"/>
      <c r="D2" s="129"/>
      <c r="E2" s="129"/>
      <c r="F2" s="129"/>
    </row>
    <row r="3" spans="1:7" x14ac:dyDescent="0.2">
      <c r="A3" s="131" t="str">
        <f>'[3]Sch 120'!A3</f>
        <v>UE-</v>
      </c>
      <c r="B3" s="131"/>
      <c r="C3" s="131"/>
      <c r="D3" s="131"/>
      <c r="E3" s="131"/>
      <c r="F3" s="131"/>
      <c r="G3" s="132"/>
    </row>
    <row r="4" spans="1:7" s="132" customFormat="1" x14ac:dyDescent="0.2">
      <c r="A4" s="131"/>
      <c r="B4" s="131"/>
      <c r="C4" s="131"/>
      <c r="D4" s="131"/>
      <c r="E4" s="131"/>
      <c r="F4" s="131"/>
    </row>
    <row r="5" spans="1:7" x14ac:dyDescent="0.2">
      <c r="A5" s="133"/>
      <c r="B5" s="133"/>
      <c r="C5" s="134"/>
      <c r="D5" s="134"/>
      <c r="E5" s="134"/>
      <c r="F5" s="134"/>
    </row>
    <row r="6" spans="1:7" ht="13.5" customHeight="1" x14ac:dyDescent="0.2">
      <c r="A6" s="133"/>
      <c r="B6" s="133"/>
      <c r="C6" s="134"/>
      <c r="D6" s="134"/>
      <c r="E6" s="134"/>
      <c r="F6" s="134"/>
    </row>
    <row r="7" spans="1:7" s="138" customFormat="1" ht="22.5" x14ac:dyDescent="0.2">
      <c r="A7" s="135" t="s">
        <v>23</v>
      </c>
      <c r="B7" s="135" t="s">
        <v>166</v>
      </c>
      <c r="C7" s="135" t="s">
        <v>167</v>
      </c>
      <c r="D7" s="136" t="s">
        <v>168</v>
      </c>
      <c r="E7" s="136" t="s">
        <v>169</v>
      </c>
      <c r="F7" s="136" t="s">
        <v>170</v>
      </c>
      <c r="G7" s="137" t="s">
        <v>65</v>
      </c>
    </row>
    <row r="8" spans="1:7" s="138" customFormat="1" x14ac:dyDescent="0.2">
      <c r="A8" s="139"/>
      <c r="B8" s="139"/>
      <c r="C8" s="139"/>
      <c r="D8" s="140">
        <v>45047</v>
      </c>
      <c r="E8" s="140">
        <v>45413</v>
      </c>
      <c r="F8" s="141"/>
      <c r="G8" s="141"/>
    </row>
    <row r="9" spans="1:7" s="138" customFormat="1" x14ac:dyDescent="0.2">
      <c r="A9" s="142"/>
      <c r="B9" s="143" t="s">
        <v>18</v>
      </c>
      <c r="C9" s="136" t="s">
        <v>19</v>
      </c>
      <c r="D9" s="136" t="s">
        <v>20</v>
      </c>
      <c r="E9" s="136" t="s">
        <v>21</v>
      </c>
      <c r="F9" s="136" t="s">
        <v>133</v>
      </c>
      <c r="G9" s="136" t="s">
        <v>132</v>
      </c>
    </row>
    <row r="10" spans="1:7" s="138" customFormat="1" x14ac:dyDescent="0.2">
      <c r="A10" s="134">
        <v>1</v>
      </c>
      <c r="B10" s="144" t="s">
        <v>171</v>
      </c>
      <c r="C10" s="144"/>
      <c r="D10" s="145"/>
      <c r="E10" s="145"/>
      <c r="F10" s="145"/>
      <c r="G10" s="146"/>
    </row>
    <row r="11" spans="1:7" x14ac:dyDescent="0.2">
      <c r="A11" s="147">
        <f t="shared" ref="A11:A42" si="0">+A10+1</f>
        <v>2</v>
      </c>
      <c r="B11" s="148" t="s">
        <v>0</v>
      </c>
      <c r="C11" s="149" t="str">
        <f>'[3]Sch 120'!C11</f>
        <v>7 (307) (317) (327)</v>
      </c>
      <c r="D11" s="150">
        <f>'Rate Impacts'!H10</f>
        <v>5.0439999999999999E-3</v>
      </c>
      <c r="E11" s="150">
        <f>'Rate Impacts'!J10</f>
        <v>6.0949999999999997E-3</v>
      </c>
      <c r="F11" s="151">
        <f>IFERROR(E11/D11-1, "na")</f>
        <v>0.20836637589214901</v>
      </c>
      <c r="G11" s="152" t="s">
        <v>66</v>
      </c>
    </row>
    <row r="12" spans="1:7" x14ac:dyDescent="0.2">
      <c r="A12" s="147">
        <f t="shared" si="0"/>
        <v>3</v>
      </c>
      <c r="B12" s="148"/>
      <c r="C12" s="149"/>
      <c r="D12" s="153"/>
      <c r="E12" s="153"/>
      <c r="F12" s="154"/>
      <c r="G12" s="155"/>
    </row>
    <row r="13" spans="1:7" x14ac:dyDescent="0.2">
      <c r="A13" s="147">
        <f t="shared" si="0"/>
        <v>4</v>
      </c>
      <c r="B13" s="148" t="s">
        <v>84</v>
      </c>
      <c r="C13" s="149"/>
      <c r="D13" s="153"/>
      <c r="E13" s="153"/>
      <c r="F13" s="154"/>
      <c r="G13" s="155"/>
    </row>
    <row r="14" spans="1:7" x14ac:dyDescent="0.2">
      <c r="A14" s="147">
        <f t="shared" si="0"/>
        <v>5</v>
      </c>
      <c r="B14" s="156" t="s">
        <v>85</v>
      </c>
      <c r="C14" s="149" t="str">
        <f>'[3]Sch 120'!C14</f>
        <v>08 (24) (324)</v>
      </c>
      <c r="D14" s="153">
        <f>'Rate Impacts'!H13</f>
        <v>4.2760000000000003E-3</v>
      </c>
      <c r="E14" s="157">
        <f>'Rate Impacts'!J13</f>
        <v>5.352E-3</v>
      </c>
      <c r="F14" s="154">
        <f>IFERROR(E14/D14-1, "na")</f>
        <v>0.25163704396632358</v>
      </c>
      <c r="G14" s="152" t="s">
        <v>66</v>
      </c>
    </row>
    <row r="15" spans="1:7" x14ac:dyDescent="0.2">
      <c r="A15" s="147">
        <f t="shared" si="0"/>
        <v>6</v>
      </c>
      <c r="B15" s="156" t="s">
        <v>86</v>
      </c>
      <c r="C15" s="149" t="str">
        <f>'[3]Sch 120'!C15</f>
        <v>7A</v>
      </c>
      <c r="D15" s="153">
        <f>'Rate Impacts'!H14</f>
        <v>4.3480000000000003E-3</v>
      </c>
      <c r="E15" s="157">
        <f>'Rate Impacts'!J14</f>
        <v>5.365E-3</v>
      </c>
      <c r="F15" s="154">
        <f>IFERROR(E15/D15-1, "na")</f>
        <v>0.23390064397424104</v>
      </c>
      <c r="G15" s="152" t="s">
        <v>66</v>
      </c>
    </row>
    <row r="16" spans="1:7" x14ac:dyDescent="0.2">
      <c r="A16" s="147">
        <f t="shared" si="0"/>
        <v>7</v>
      </c>
      <c r="B16" s="156" t="s">
        <v>86</v>
      </c>
      <c r="C16" s="149" t="str">
        <f>'[3]Sch 120'!C16</f>
        <v>11 / 25</v>
      </c>
      <c r="D16" s="158">
        <f>D15</f>
        <v>4.3480000000000003E-3</v>
      </c>
      <c r="E16" s="158">
        <f>E15</f>
        <v>5.365E-3</v>
      </c>
      <c r="F16" s="154">
        <f>IFERROR(E16/D16-1, "na")</f>
        <v>0.23390064397424104</v>
      </c>
      <c r="G16" s="159" t="str">
        <f>G15</f>
        <v>Sheet No. 120</v>
      </c>
    </row>
    <row r="17" spans="1:7" x14ac:dyDescent="0.2">
      <c r="A17" s="147">
        <f t="shared" si="0"/>
        <v>8</v>
      </c>
      <c r="B17" s="156" t="s">
        <v>88</v>
      </c>
      <c r="C17" s="149" t="str">
        <f>'[3]Sch 120'!C17</f>
        <v>12 (26) (26P)</v>
      </c>
      <c r="D17" s="153">
        <f>'Rate Impacts'!H15</f>
        <v>3.9809999999999993E-3</v>
      </c>
      <c r="E17" s="153">
        <f>'Rate Impacts'!J15</f>
        <v>4.6410000000000002E-3</v>
      </c>
      <c r="F17" s="154">
        <f>IFERROR(E17/D17-1, "na")</f>
        <v>0.16578749058025655</v>
      </c>
      <c r="G17" s="152" t="s">
        <v>66</v>
      </c>
    </row>
    <row r="18" spans="1:7" x14ac:dyDescent="0.2">
      <c r="A18" s="147">
        <f t="shared" si="0"/>
        <v>9</v>
      </c>
      <c r="B18" s="156" t="s">
        <v>86</v>
      </c>
      <c r="C18" s="149">
        <f>'[3]Sch 120'!C18</f>
        <v>29</v>
      </c>
      <c r="D18" s="153">
        <f>'Rate Impacts'!H16</f>
        <v>4.5299999999999993E-3</v>
      </c>
      <c r="E18" s="153">
        <f>'Rate Impacts'!J16</f>
        <v>5.666E-3</v>
      </c>
      <c r="F18" s="154">
        <f>IFERROR(E18/D18-1, "na")</f>
        <v>0.25077262693156754</v>
      </c>
      <c r="G18" s="152" t="s">
        <v>66</v>
      </c>
    </row>
    <row r="19" spans="1:7" x14ac:dyDescent="0.2">
      <c r="A19" s="147">
        <f t="shared" si="0"/>
        <v>10</v>
      </c>
      <c r="B19" s="160" t="s">
        <v>24</v>
      </c>
      <c r="C19" s="161"/>
      <c r="D19" s="162"/>
      <c r="E19" s="162"/>
      <c r="F19" s="151"/>
      <c r="G19" s="155"/>
    </row>
    <row r="20" spans="1:7" x14ac:dyDescent="0.2">
      <c r="A20" s="147">
        <f t="shared" si="0"/>
        <v>11</v>
      </c>
      <c r="B20" s="160"/>
      <c r="C20" s="161"/>
      <c r="D20" s="153"/>
      <c r="E20" s="153"/>
      <c r="F20" s="154"/>
      <c r="G20" s="155"/>
    </row>
    <row r="21" spans="1:7" x14ac:dyDescent="0.2">
      <c r="A21" s="147">
        <f t="shared" si="0"/>
        <v>12</v>
      </c>
      <c r="B21" s="148" t="s">
        <v>90</v>
      </c>
      <c r="C21" s="149"/>
      <c r="D21" s="153"/>
      <c r="E21" s="153"/>
      <c r="F21" s="154"/>
      <c r="G21" s="155"/>
    </row>
    <row r="22" spans="1:7" x14ac:dyDescent="0.2">
      <c r="A22" s="147">
        <f t="shared" si="0"/>
        <v>13</v>
      </c>
      <c r="B22" s="156" t="s">
        <v>91</v>
      </c>
      <c r="C22" s="149" t="str">
        <f>'[3]Sch 120'!C22</f>
        <v>10 (31)</v>
      </c>
      <c r="D22" s="153">
        <f>'Rate Impacts'!H20</f>
        <v>3.8380000000000003E-3</v>
      </c>
      <c r="E22" s="153">
        <f>'Rate Impacts'!J20</f>
        <v>4.5279999999999999E-3</v>
      </c>
      <c r="F22" s="154">
        <f>IFERROR(E22/D22-1, "na")</f>
        <v>0.17978113600833767</v>
      </c>
      <c r="G22" s="152" t="s">
        <v>66</v>
      </c>
    </row>
    <row r="23" spans="1:7" x14ac:dyDescent="0.2">
      <c r="A23" s="147">
        <f t="shared" si="0"/>
        <v>14</v>
      </c>
      <c r="B23" s="156" t="s">
        <v>183</v>
      </c>
      <c r="C23" s="149">
        <f>'[3]Sch 120'!C23</f>
        <v>35</v>
      </c>
      <c r="D23" s="153">
        <f>'Rate Impacts'!H21</f>
        <v>2.624E-3</v>
      </c>
      <c r="E23" s="153">
        <f>'Rate Impacts'!J21</f>
        <v>3.4810000000000002E-3</v>
      </c>
      <c r="F23" s="154">
        <f>IFERROR(E23/D23-1, "na")</f>
        <v>0.32660060975609762</v>
      </c>
      <c r="G23" s="152" t="s">
        <v>66</v>
      </c>
    </row>
    <row r="24" spans="1:7" x14ac:dyDescent="0.2">
      <c r="A24" s="147">
        <f t="shared" si="0"/>
        <v>15</v>
      </c>
      <c r="B24" s="156" t="s">
        <v>184</v>
      </c>
      <c r="C24" s="149">
        <f>'[3]Sch 120'!C24</f>
        <v>43</v>
      </c>
      <c r="D24" s="153">
        <f>'Rate Impacts'!H22</f>
        <v>8.1499999999999997E-4</v>
      </c>
      <c r="E24" s="153">
        <f>'Rate Impacts'!J22</f>
        <v>1.0089999999999999E-3</v>
      </c>
      <c r="F24" s="154">
        <f>IFERROR(E24/D24-1, "na")</f>
        <v>0.23803680981595088</v>
      </c>
      <c r="G24" s="152" t="s">
        <v>66</v>
      </c>
    </row>
    <row r="25" spans="1:7" x14ac:dyDescent="0.2">
      <c r="A25" s="147">
        <f t="shared" si="0"/>
        <v>16</v>
      </c>
      <c r="B25" s="160" t="s">
        <v>25</v>
      </c>
      <c r="C25" s="161"/>
      <c r="D25" s="162"/>
      <c r="E25" s="162"/>
      <c r="F25" s="151"/>
      <c r="G25" s="155"/>
    </row>
    <row r="26" spans="1:7" x14ac:dyDescent="0.2">
      <c r="A26" s="147">
        <f t="shared" si="0"/>
        <v>17</v>
      </c>
      <c r="B26" s="160"/>
      <c r="C26" s="161"/>
      <c r="D26" s="153"/>
      <c r="E26" s="153"/>
      <c r="F26" s="154"/>
      <c r="G26" s="155"/>
    </row>
    <row r="27" spans="1:7" x14ac:dyDescent="0.2">
      <c r="A27" s="147">
        <f t="shared" si="0"/>
        <v>18</v>
      </c>
      <c r="B27" s="148" t="s">
        <v>13</v>
      </c>
      <c r="C27" s="149"/>
      <c r="D27" s="153"/>
      <c r="E27" s="153"/>
      <c r="F27" s="154"/>
      <c r="G27" s="155"/>
    </row>
    <row r="28" spans="1:7" x14ac:dyDescent="0.2">
      <c r="A28" s="147">
        <f t="shared" si="0"/>
        <v>19</v>
      </c>
      <c r="B28" s="156" t="s">
        <v>185</v>
      </c>
      <c r="C28" s="149">
        <f>'[3]Sch 120'!C28</f>
        <v>46</v>
      </c>
      <c r="D28" s="153">
        <f>'Rate Impacts'!H26</f>
        <v>9.7300000000000012E-4</v>
      </c>
      <c r="E28" s="153">
        <f>'Rate Impacts'!J26</f>
        <v>1.1249999999999999E-3</v>
      </c>
      <c r="F28" s="154">
        <f>IFERROR(E28/D28-1, "na")</f>
        <v>0.15621788283658766</v>
      </c>
      <c r="G28" s="163" t="s">
        <v>67</v>
      </c>
    </row>
    <row r="29" spans="1:7" x14ac:dyDescent="0.2">
      <c r="A29" s="147">
        <f t="shared" si="0"/>
        <v>20</v>
      </c>
      <c r="B29" s="156" t="s">
        <v>91</v>
      </c>
      <c r="C29" s="149">
        <f>'[3]Sch 120'!C29</f>
        <v>49</v>
      </c>
      <c r="D29" s="153">
        <f>'Rate Impacts'!H27</f>
        <v>3.5689999999999997E-3</v>
      </c>
      <c r="E29" s="153">
        <f>'Rate Impacts'!J27</f>
        <v>4.2370000000000003E-3</v>
      </c>
      <c r="F29" s="154">
        <f>IFERROR(E29/D29-1, "na")</f>
        <v>0.18716727374614761</v>
      </c>
      <c r="G29" s="163" t="s">
        <v>67</v>
      </c>
    </row>
    <row r="30" spans="1:7" x14ac:dyDescent="0.2">
      <c r="A30" s="147">
        <f t="shared" si="0"/>
        <v>21</v>
      </c>
      <c r="B30" s="164" t="s">
        <v>22</v>
      </c>
      <c r="C30" s="161"/>
      <c r="D30" s="162"/>
      <c r="E30" s="162"/>
      <c r="F30" s="151"/>
      <c r="G30" s="155"/>
    </row>
    <row r="31" spans="1:7" x14ac:dyDescent="0.2">
      <c r="A31" s="147">
        <f t="shared" si="0"/>
        <v>22</v>
      </c>
      <c r="B31" s="148"/>
      <c r="C31" s="149"/>
      <c r="D31" s="153"/>
      <c r="E31" s="153"/>
      <c r="F31" s="154"/>
      <c r="G31" s="155"/>
    </row>
    <row r="32" spans="1:7" x14ac:dyDescent="0.2">
      <c r="A32" s="147">
        <f t="shared" si="0"/>
        <v>23</v>
      </c>
      <c r="B32" s="165" t="s">
        <v>186</v>
      </c>
      <c r="C32" s="149" t="str">
        <f>'[3]Sch 120'!C32</f>
        <v>448 - 459</v>
      </c>
      <c r="D32" s="153">
        <f>'Rate Impacts'!$H$30</f>
        <v>1.351E-3</v>
      </c>
      <c r="E32" s="153">
        <f>'Rate Impacts'!$J$30</f>
        <v>1.351E-3</v>
      </c>
      <c r="F32" s="154">
        <f>IFERROR(E32/D32-1, "na")</f>
        <v>0</v>
      </c>
      <c r="G32" s="163" t="s">
        <v>67</v>
      </c>
    </row>
    <row r="33" spans="1:7" x14ac:dyDescent="0.2">
      <c r="A33" s="147">
        <f t="shared" si="0"/>
        <v>24</v>
      </c>
      <c r="B33" s="148" t="s">
        <v>187</v>
      </c>
      <c r="C33" s="149" t="str">
        <f>'[3]Sch 120'!C33</f>
        <v>Special Contract</v>
      </c>
      <c r="D33" s="153">
        <f>'Rate Impacts'!$H$32</f>
        <v>4.2310000000000004E-3</v>
      </c>
      <c r="E33" s="153">
        <f>'Rate Impacts'!$J$32</f>
        <v>5.0289999999999996E-3</v>
      </c>
      <c r="F33" s="154">
        <f>IFERROR(E33/D33-1, "na")</f>
        <v>0.18860789411486634</v>
      </c>
      <c r="G33" s="163" t="s">
        <v>67</v>
      </c>
    </row>
    <row r="34" spans="1:7" x14ac:dyDescent="0.2">
      <c r="A34" s="147">
        <f t="shared" si="0"/>
        <v>25</v>
      </c>
      <c r="B34" s="148" t="s">
        <v>94</v>
      </c>
      <c r="C34" s="149" t="str">
        <f>'[3]Sch 120'!C34</f>
        <v>50 - 59</v>
      </c>
      <c r="D34" s="166">
        <f>'Rate Impacts'!$H$34</f>
        <v>2.323E-3</v>
      </c>
      <c r="E34" s="166">
        <f>'Rate Impacts'!$J$34</f>
        <v>2.6700000000000001E-3</v>
      </c>
      <c r="F34" s="167">
        <f>IFERROR(E34/D34-1, "na")</f>
        <v>0.14937580714593213</v>
      </c>
      <c r="G34" s="168" t="s">
        <v>200</v>
      </c>
    </row>
    <row r="35" spans="1:7" x14ac:dyDescent="0.2">
      <c r="A35" s="147">
        <f t="shared" si="0"/>
        <v>26</v>
      </c>
      <c r="B35" s="148"/>
      <c r="C35" s="149"/>
      <c r="D35" s="153"/>
      <c r="E35" s="153"/>
      <c r="F35" s="154"/>
    </row>
    <row r="36" spans="1:7" x14ac:dyDescent="0.2">
      <c r="A36" s="147">
        <f t="shared" si="0"/>
        <v>27</v>
      </c>
      <c r="B36" s="164" t="s">
        <v>188</v>
      </c>
      <c r="C36" s="161"/>
      <c r="D36" s="162"/>
      <c r="E36" s="162"/>
      <c r="F36" s="151"/>
    </row>
    <row r="37" spans="1:7" x14ac:dyDescent="0.2">
      <c r="A37" s="147">
        <f t="shared" si="0"/>
        <v>28</v>
      </c>
      <c r="B37" s="148"/>
      <c r="C37" s="149"/>
      <c r="D37" s="153"/>
      <c r="E37" s="153"/>
      <c r="F37" s="154"/>
    </row>
    <row r="38" spans="1:7" x14ac:dyDescent="0.2">
      <c r="A38" s="147">
        <f t="shared" si="0"/>
        <v>29</v>
      </c>
      <c r="B38" s="169" t="s">
        <v>189</v>
      </c>
      <c r="C38" s="149">
        <f>'[3]Sch 120'!C38</f>
        <v>5</v>
      </c>
      <c r="D38" s="166" t="s">
        <v>173</v>
      </c>
      <c r="E38" s="166" t="s">
        <v>173</v>
      </c>
      <c r="F38" s="167" t="s">
        <v>173</v>
      </c>
    </row>
    <row r="39" spans="1:7" x14ac:dyDescent="0.2">
      <c r="A39" s="147">
        <f t="shared" si="0"/>
        <v>30</v>
      </c>
      <c r="B39" s="169"/>
      <c r="C39" s="170"/>
      <c r="D39" s="166"/>
      <c r="E39" s="166"/>
      <c r="F39" s="167"/>
    </row>
    <row r="40" spans="1:7" ht="12" thickBot="1" x14ac:dyDescent="0.25">
      <c r="A40" s="147">
        <f t="shared" si="0"/>
        <v>31</v>
      </c>
      <c r="B40" s="170" t="s">
        <v>190</v>
      </c>
      <c r="C40" s="171"/>
      <c r="D40" s="172"/>
      <c r="E40" s="172"/>
      <c r="F40" s="173"/>
    </row>
    <row r="41" spans="1:7" ht="12" thickTop="1" x14ac:dyDescent="0.2">
      <c r="A41" s="147">
        <f t="shared" si="0"/>
        <v>32</v>
      </c>
      <c r="B41" s="174"/>
      <c r="C41" s="170"/>
      <c r="D41" s="166"/>
      <c r="E41" s="166"/>
      <c r="F41" s="175"/>
    </row>
    <row r="42" spans="1:7" x14ac:dyDescent="0.2">
      <c r="A42" s="147">
        <f t="shared" si="0"/>
        <v>33</v>
      </c>
      <c r="B42" s="174"/>
      <c r="C42" s="170"/>
      <c r="D42" s="166"/>
      <c r="E42" s="166"/>
      <c r="F42" s="175"/>
    </row>
    <row r="43" spans="1:7" x14ac:dyDescent="0.2">
      <c r="A43" s="147">
        <f t="shared" ref="A43:A73" si="1">+A42+1</f>
        <v>34</v>
      </c>
      <c r="B43" s="176" t="s">
        <v>172</v>
      </c>
      <c r="C43" s="176"/>
      <c r="D43" s="177"/>
      <c r="E43" s="177"/>
      <c r="F43" s="177"/>
    </row>
    <row r="44" spans="1:7" x14ac:dyDescent="0.2">
      <c r="A44" s="147">
        <f t="shared" si="1"/>
        <v>35</v>
      </c>
      <c r="B44" s="169" t="str">
        <f>B11</f>
        <v>Residential</v>
      </c>
      <c r="C44" s="174" t="str">
        <f>C11</f>
        <v>7 (307) (317) (327)</v>
      </c>
      <c r="D44" s="128"/>
      <c r="E44" s="128"/>
      <c r="F44" s="178" t="str">
        <f>IFERROR(E44/D44-1, "na")</f>
        <v>na</v>
      </c>
    </row>
    <row r="45" spans="1:7" x14ac:dyDescent="0.2">
      <c r="A45" s="147">
        <f t="shared" si="1"/>
        <v>36</v>
      </c>
      <c r="B45" s="169"/>
      <c r="C45" s="174"/>
      <c r="D45" s="127"/>
      <c r="E45" s="127"/>
      <c r="F45" s="167"/>
    </row>
    <row r="46" spans="1:7" x14ac:dyDescent="0.2">
      <c r="A46" s="147">
        <f t="shared" si="1"/>
        <v>37</v>
      </c>
      <c r="B46" s="169" t="str">
        <f t="shared" ref="B46:B52" si="2">B13</f>
        <v>Secondary Voltage</v>
      </c>
      <c r="C46" s="174"/>
      <c r="D46" s="127"/>
      <c r="E46" s="127"/>
      <c r="F46" s="167"/>
    </row>
    <row r="47" spans="1:7" x14ac:dyDescent="0.2">
      <c r="A47" s="147">
        <f t="shared" si="1"/>
        <v>38</v>
      </c>
      <c r="B47" s="179" t="str">
        <f t="shared" si="2"/>
        <v>Demand &lt;= 50 kW</v>
      </c>
      <c r="C47" s="174" t="str">
        <f>C14</f>
        <v>08 (24) (324)</v>
      </c>
      <c r="D47" s="127"/>
      <c r="E47" s="127"/>
      <c r="F47" s="167" t="str">
        <f>IFERROR(E47/D47-1, "na")</f>
        <v>na</v>
      </c>
    </row>
    <row r="48" spans="1:7" x14ac:dyDescent="0.2">
      <c r="A48" s="147">
        <f t="shared" si="1"/>
        <v>39</v>
      </c>
      <c r="B48" s="179" t="str">
        <f t="shared" si="2"/>
        <v>Demand &gt; 50 kW but &lt;= 350 kW</v>
      </c>
      <c r="C48" s="174" t="str">
        <f>C15</f>
        <v>7A</v>
      </c>
      <c r="D48" s="127"/>
      <c r="E48" s="127"/>
      <c r="F48" s="167" t="str">
        <f>IFERROR(E48/D48-1, "na")</f>
        <v>na</v>
      </c>
    </row>
    <row r="49" spans="1:6" x14ac:dyDescent="0.2">
      <c r="A49" s="147">
        <f t="shared" si="1"/>
        <v>40</v>
      </c>
      <c r="B49" s="179" t="str">
        <f t="shared" si="2"/>
        <v>Demand &gt; 50 kW but &lt;= 350 kW</v>
      </c>
      <c r="C49" s="174" t="str">
        <f>C16</f>
        <v>11 / 25</v>
      </c>
      <c r="D49" s="127">
        <f>D48</f>
        <v>0</v>
      </c>
      <c r="E49" s="127">
        <f>E48</f>
        <v>0</v>
      </c>
      <c r="F49" s="167" t="str">
        <f>IFERROR(E49/D49-1, "na")</f>
        <v>na</v>
      </c>
    </row>
    <row r="50" spans="1:6" x14ac:dyDescent="0.2">
      <c r="A50" s="147">
        <f t="shared" si="1"/>
        <v>41</v>
      </c>
      <c r="B50" s="179" t="str">
        <f t="shared" si="2"/>
        <v>Demand &gt; 350 kW</v>
      </c>
      <c r="C50" s="174" t="str">
        <f>C17</f>
        <v>12 (26) (26P)</v>
      </c>
      <c r="D50" s="127"/>
      <c r="E50" s="127"/>
      <c r="F50" s="167" t="str">
        <f>IFERROR(E50/D50-1, "na")</f>
        <v>na</v>
      </c>
    </row>
    <row r="51" spans="1:6" x14ac:dyDescent="0.2">
      <c r="A51" s="147">
        <f t="shared" si="1"/>
        <v>42</v>
      </c>
      <c r="B51" s="179" t="str">
        <f t="shared" si="2"/>
        <v>Demand &gt; 50 kW but &lt;= 350 kW</v>
      </c>
      <c r="C51" s="174">
        <f>C18</f>
        <v>29</v>
      </c>
      <c r="D51" s="127"/>
      <c r="E51" s="127"/>
      <c r="F51" s="167" t="str">
        <f>IFERROR(E51/D51-1, "na")</f>
        <v>na</v>
      </c>
    </row>
    <row r="52" spans="1:6" x14ac:dyDescent="0.2">
      <c r="A52" s="147">
        <f t="shared" si="1"/>
        <v>43</v>
      </c>
      <c r="B52" s="171" t="str">
        <f t="shared" si="2"/>
        <v>Total Secondary Voltage</v>
      </c>
      <c r="C52" s="180"/>
      <c r="D52" s="128"/>
      <c r="E52" s="128"/>
      <c r="F52" s="178"/>
    </row>
    <row r="53" spans="1:6" x14ac:dyDescent="0.2">
      <c r="A53" s="147">
        <f t="shared" si="1"/>
        <v>44</v>
      </c>
      <c r="B53" s="171"/>
      <c r="C53" s="180"/>
      <c r="D53" s="127"/>
      <c r="E53" s="127"/>
      <c r="F53" s="167"/>
    </row>
    <row r="54" spans="1:6" x14ac:dyDescent="0.2">
      <c r="A54" s="147">
        <f t="shared" si="1"/>
        <v>45</v>
      </c>
      <c r="B54" s="169" t="str">
        <f>B21</f>
        <v>Primary Voltage</v>
      </c>
      <c r="C54" s="174"/>
      <c r="D54" s="127"/>
      <c r="E54" s="127"/>
      <c r="F54" s="167"/>
    </row>
    <row r="55" spans="1:6" x14ac:dyDescent="0.2">
      <c r="A55" s="147">
        <f t="shared" si="1"/>
        <v>46</v>
      </c>
      <c r="B55" s="179" t="str">
        <f>B22</f>
        <v>General Service</v>
      </c>
      <c r="C55" s="174" t="str">
        <f>C22</f>
        <v>10 (31)</v>
      </c>
      <c r="D55" s="127"/>
      <c r="E55" s="127"/>
      <c r="F55" s="167" t="str">
        <f>IFERROR(E55/D55-1, "na")</f>
        <v>na</v>
      </c>
    </row>
    <row r="56" spans="1:6" x14ac:dyDescent="0.2">
      <c r="A56" s="147">
        <f t="shared" si="1"/>
        <v>47</v>
      </c>
      <c r="B56" s="179" t="str">
        <f>B23</f>
        <v>Irrigation</v>
      </c>
      <c r="C56" s="174">
        <f>C23</f>
        <v>35</v>
      </c>
      <c r="D56" s="127"/>
      <c r="E56" s="127"/>
      <c r="F56" s="167" t="str">
        <f>IFERROR(E56/D56-1, "na")</f>
        <v>na</v>
      </c>
    </row>
    <row r="57" spans="1:6" x14ac:dyDescent="0.2">
      <c r="A57" s="147">
        <f t="shared" si="1"/>
        <v>48</v>
      </c>
      <c r="B57" s="179" t="str">
        <f>B24</f>
        <v>Interruptible Schools</v>
      </c>
      <c r="C57" s="174">
        <f>C24</f>
        <v>43</v>
      </c>
      <c r="D57" s="127"/>
      <c r="E57" s="127"/>
      <c r="F57" s="167" t="str">
        <f>IFERROR(E57/D57-1, "na")</f>
        <v>na</v>
      </c>
    </row>
    <row r="58" spans="1:6" x14ac:dyDescent="0.2">
      <c r="A58" s="147">
        <f t="shared" si="1"/>
        <v>49</v>
      </c>
      <c r="B58" s="171" t="str">
        <f>B25</f>
        <v>Total Primary Voltage</v>
      </c>
      <c r="C58" s="180"/>
      <c r="D58" s="128"/>
      <c r="E58" s="128"/>
      <c r="F58" s="178"/>
    </row>
    <row r="59" spans="1:6" x14ac:dyDescent="0.2">
      <c r="A59" s="147">
        <f t="shared" si="1"/>
        <v>50</v>
      </c>
      <c r="B59" s="171"/>
      <c r="C59" s="180"/>
      <c r="D59" s="127"/>
      <c r="E59" s="127"/>
      <c r="F59" s="167"/>
    </row>
    <row r="60" spans="1:6" x14ac:dyDescent="0.2">
      <c r="A60" s="147">
        <f t="shared" si="1"/>
        <v>51</v>
      </c>
      <c r="B60" s="169" t="str">
        <f>B27</f>
        <v>High Voltage</v>
      </c>
      <c r="C60" s="174"/>
      <c r="D60" s="127"/>
      <c r="E60" s="127"/>
      <c r="F60" s="167"/>
    </row>
    <row r="61" spans="1:6" x14ac:dyDescent="0.2">
      <c r="A61" s="147">
        <f t="shared" si="1"/>
        <v>52</v>
      </c>
      <c r="B61" s="179" t="str">
        <f>B28</f>
        <v>Interruptible Service</v>
      </c>
      <c r="C61" s="174">
        <f>C28</f>
        <v>46</v>
      </c>
      <c r="D61" s="127"/>
      <c r="E61" s="127"/>
      <c r="F61" s="167" t="str">
        <f>IFERROR(E61/D61-1, "na")</f>
        <v>na</v>
      </c>
    </row>
    <row r="62" spans="1:6" x14ac:dyDescent="0.2">
      <c r="A62" s="147">
        <f t="shared" si="1"/>
        <v>53</v>
      </c>
      <c r="B62" s="179" t="str">
        <f>B29</f>
        <v>General Service</v>
      </c>
      <c r="C62" s="174">
        <f>C29</f>
        <v>49</v>
      </c>
      <c r="D62" s="127"/>
      <c r="E62" s="127"/>
      <c r="F62" s="167" t="str">
        <f>IFERROR(E62/D62-1, "na")</f>
        <v>na</v>
      </c>
    </row>
    <row r="63" spans="1:6" x14ac:dyDescent="0.2">
      <c r="A63" s="147">
        <f t="shared" si="1"/>
        <v>54</v>
      </c>
      <c r="B63" s="170" t="str">
        <f>B30</f>
        <v>Total High Voltage</v>
      </c>
      <c r="C63" s="180"/>
      <c r="D63" s="128"/>
      <c r="E63" s="128"/>
      <c r="F63" s="178"/>
    </row>
    <row r="64" spans="1:6" x14ac:dyDescent="0.2">
      <c r="A64" s="147">
        <f t="shared" si="1"/>
        <v>55</v>
      </c>
      <c r="B64" s="169"/>
      <c r="C64" s="174"/>
      <c r="D64" s="127"/>
      <c r="E64" s="127"/>
      <c r="F64" s="167"/>
    </row>
    <row r="65" spans="1:6" x14ac:dyDescent="0.2">
      <c r="A65" s="147">
        <f t="shared" si="1"/>
        <v>56</v>
      </c>
      <c r="B65" s="181" t="str">
        <f t="shared" ref="B65:C67" si="3">B32</f>
        <v>Choice / Retail Wheeling</v>
      </c>
      <c r="C65" s="174" t="str">
        <f t="shared" si="3"/>
        <v>448 - 459</v>
      </c>
      <c r="D65" s="127"/>
      <c r="E65" s="127"/>
      <c r="F65" s="167" t="str">
        <f>IFERROR(E65/D65-1, "na")</f>
        <v>na</v>
      </c>
    </row>
    <row r="66" spans="1:6" x14ac:dyDescent="0.2">
      <c r="A66" s="147">
        <f t="shared" si="1"/>
        <v>57</v>
      </c>
      <c r="B66" s="169" t="str">
        <f t="shared" si="3"/>
        <v>Special Contracts</v>
      </c>
      <c r="C66" s="174" t="str">
        <f t="shared" si="3"/>
        <v>Special Contract</v>
      </c>
      <c r="D66" s="127"/>
      <c r="E66" s="127"/>
      <c r="F66" s="167" t="str">
        <f>IFERROR(E66/D66-1, "na")</f>
        <v>na</v>
      </c>
    </row>
    <row r="67" spans="1:6" x14ac:dyDescent="0.2">
      <c r="A67" s="147">
        <f t="shared" si="1"/>
        <v>58</v>
      </c>
      <c r="B67" s="169" t="str">
        <f t="shared" si="3"/>
        <v>Lighting</v>
      </c>
      <c r="C67" s="174" t="str">
        <f t="shared" si="3"/>
        <v>50 - 59</v>
      </c>
      <c r="D67" s="127"/>
      <c r="E67" s="127"/>
      <c r="F67" s="167" t="str">
        <f>IFERROR(E67/D67-1, "na")</f>
        <v>na</v>
      </c>
    </row>
    <row r="68" spans="1:6" x14ac:dyDescent="0.2">
      <c r="A68" s="147">
        <f t="shared" si="1"/>
        <v>59</v>
      </c>
      <c r="B68" s="169"/>
      <c r="C68" s="174"/>
      <c r="D68" s="127"/>
      <c r="E68" s="127"/>
      <c r="F68" s="167"/>
    </row>
    <row r="69" spans="1:6" x14ac:dyDescent="0.2">
      <c r="A69" s="147">
        <f t="shared" si="1"/>
        <v>60</v>
      </c>
      <c r="B69" s="170" t="str">
        <f>B36</f>
        <v>Total Retail Sales</v>
      </c>
      <c r="C69" s="180"/>
      <c r="D69" s="128"/>
      <c r="E69" s="128"/>
      <c r="F69" s="178"/>
    </row>
    <row r="70" spans="1:6" x14ac:dyDescent="0.2">
      <c r="A70" s="147">
        <f t="shared" si="1"/>
        <v>61</v>
      </c>
      <c r="B70" s="169"/>
      <c r="C70" s="174"/>
      <c r="D70" s="127"/>
      <c r="E70" s="127"/>
      <c r="F70" s="167"/>
    </row>
    <row r="71" spans="1:6" x14ac:dyDescent="0.2">
      <c r="A71" s="147">
        <f t="shared" si="1"/>
        <v>62</v>
      </c>
      <c r="B71" s="169" t="str">
        <f>B38</f>
        <v>Firm Resale</v>
      </c>
      <c r="C71" s="174">
        <f>C38</f>
        <v>5</v>
      </c>
      <c r="D71" s="127"/>
      <c r="E71" s="127"/>
      <c r="F71" s="167" t="str">
        <f>IFERROR(E71/D71-1, "na")</f>
        <v>na</v>
      </c>
    </row>
    <row r="72" spans="1:6" x14ac:dyDescent="0.2">
      <c r="A72" s="147">
        <f t="shared" si="1"/>
        <v>63</v>
      </c>
      <c r="B72" s="169"/>
      <c r="C72" s="170"/>
      <c r="D72" s="166"/>
      <c r="E72" s="166"/>
      <c r="F72" s="167"/>
    </row>
    <row r="73" spans="1:6" ht="12" thickBot="1" x14ac:dyDescent="0.25">
      <c r="A73" s="147">
        <f t="shared" si="1"/>
        <v>64</v>
      </c>
      <c r="B73" s="170" t="str">
        <f>B40</f>
        <v>Total Sales</v>
      </c>
      <c r="C73" s="171"/>
      <c r="D73" s="172"/>
      <c r="E73" s="172"/>
      <c r="F73" s="173"/>
    </row>
    <row r="74" spans="1:6" ht="12" thickTop="1" x14ac:dyDescent="0.2"/>
  </sheetData>
  <pageMargins left="0.7" right="0.7" top="0.75" bottom="0.75" header="0.3" footer="0.3"/>
  <pageSetup orientation="landscape" r:id="rId1"/>
  <headerFooter>
    <oddHeader>&amp;RElectric Schedule 120 Rate Design Workpapers
Page &amp;P of &amp;N</oddHeader>
    <oddFooter>&amp;L&amp;F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E163"/>
  <sheetViews>
    <sheetView workbookViewId="0"/>
  </sheetViews>
  <sheetFormatPr defaultColWidth="8.85546875" defaultRowHeight="11.25" x14ac:dyDescent="0.2"/>
  <cols>
    <col min="1" max="1" width="6.7109375" style="155" bestFit="1" customWidth="1"/>
    <col min="2" max="2" width="25.85546875" style="155" bestFit="1" customWidth="1"/>
    <col min="3" max="3" width="9.7109375" style="155" bestFit="1" customWidth="1"/>
    <col min="4" max="4" width="12.140625" style="155" customWidth="1"/>
    <col min="5" max="5" width="18.28515625" style="155" bestFit="1" customWidth="1"/>
    <col min="6" max="16384" width="8.85546875" style="155"/>
  </cols>
  <sheetData>
    <row r="1" spans="1:5" x14ac:dyDescent="0.2">
      <c r="A1" s="182" t="s">
        <v>104</v>
      </c>
      <c r="B1" s="183"/>
      <c r="C1" s="183"/>
      <c r="D1" s="184"/>
      <c r="E1" s="183"/>
    </row>
    <row r="2" spans="1:5" x14ac:dyDescent="0.2">
      <c r="A2" s="182" t="s">
        <v>115</v>
      </c>
      <c r="B2" s="183"/>
      <c r="C2" s="183"/>
      <c r="D2" s="184"/>
      <c r="E2" s="183"/>
    </row>
    <row r="3" spans="1:5" x14ac:dyDescent="0.2">
      <c r="A3" s="185" t="str">
        <f>Inputs!B2&amp;" Forecasted Rate-Year Ended "&amp;TEXT(Inputs!B4,"mmmm d, yyyy")</f>
        <v>F2023 Forecasted Rate-Year Ended April 30, 2025</v>
      </c>
      <c r="B3" s="183"/>
      <c r="C3" s="183"/>
      <c r="D3" s="184"/>
      <c r="E3" s="183"/>
    </row>
    <row r="4" spans="1:5" x14ac:dyDescent="0.2">
      <c r="A4" s="185" t="str">
        <f>"Proposed Rate Effective "&amp;TEXT(Inputs!B1,"mmmm d, yyyy")</f>
        <v>Proposed Rate Effective May 1, 2024</v>
      </c>
      <c r="B4" s="183"/>
      <c r="C4" s="183"/>
      <c r="D4" s="184"/>
      <c r="E4" s="183"/>
    </row>
    <row r="5" spans="1:5" x14ac:dyDescent="0.2">
      <c r="A5" s="182" t="s">
        <v>182</v>
      </c>
      <c r="B5" s="183"/>
      <c r="C5" s="183"/>
      <c r="D5" s="184"/>
      <c r="E5" s="183"/>
    </row>
    <row r="6" spans="1:5" x14ac:dyDescent="0.2">
      <c r="A6" s="183" t="s">
        <v>101</v>
      </c>
      <c r="B6" s="183"/>
      <c r="C6" s="183"/>
      <c r="D6" s="184"/>
      <c r="E6" s="183"/>
    </row>
    <row r="7" spans="1:5" ht="33.75" x14ac:dyDescent="0.2">
      <c r="A7" s="186" t="s">
        <v>23</v>
      </c>
      <c r="B7" s="187" t="s">
        <v>199</v>
      </c>
      <c r="C7" s="188" t="s">
        <v>181</v>
      </c>
      <c r="D7" s="189" t="s">
        <v>160</v>
      </c>
      <c r="E7" s="186" t="s">
        <v>65</v>
      </c>
    </row>
    <row r="8" spans="1:5" x14ac:dyDescent="0.2">
      <c r="A8" s="190">
        <v>1</v>
      </c>
      <c r="B8" s="183" t="s">
        <v>101</v>
      </c>
      <c r="C8" s="184"/>
      <c r="D8" s="157"/>
      <c r="E8" s="159"/>
    </row>
    <row r="9" spans="1:5" ht="13.5" x14ac:dyDescent="0.35">
      <c r="A9" s="190">
        <f t="shared" ref="A9:A40" si="0">A8+1</f>
        <v>2</v>
      </c>
      <c r="B9" s="191" t="s">
        <v>120</v>
      </c>
      <c r="C9" s="192"/>
      <c r="E9" s="193"/>
    </row>
    <row r="10" spans="1:5" x14ac:dyDescent="0.2">
      <c r="A10" s="190">
        <f t="shared" si="0"/>
        <v>3</v>
      </c>
      <c r="B10" s="194" t="s">
        <v>193</v>
      </c>
      <c r="C10" s="195">
        <v>22</v>
      </c>
      <c r="D10" s="126">
        <f>ROUND('Lighting RD'!F11,2)</f>
        <v>0.02</v>
      </c>
      <c r="E10" s="163" t="s">
        <v>67</v>
      </c>
    </row>
    <row r="11" spans="1:5" x14ac:dyDescent="0.2">
      <c r="A11" s="190">
        <f t="shared" si="0"/>
        <v>4</v>
      </c>
      <c r="B11" s="194"/>
      <c r="C11" s="196"/>
      <c r="D11" s="126"/>
      <c r="E11" s="197"/>
    </row>
    <row r="12" spans="1:5" x14ac:dyDescent="0.2">
      <c r="A12" s="190">
        <f t="shared" si="0"/>
        <v>5</v>
      </c>
      <c r="B12" s="194" t="s">
        <v>139</v>
      </c>
      <c r="C12" s="195">
        <v>100</v>
      </c>
      <c r="D12" s="126">
        <f>ROUND('Lighting RD'!F13,2)</f>
        <v>0.11</v>
      </c>
      <c r="E12" s="163" t="s">
        <v>67</v>
      </c>
    </row>
    <row r="13" spans="1:5" x14ac:dyDescent="0.2">
      <c r="A13" s="190">
        <f t="shared" si="0"/>
        <v>6</v>
      </c>
      <c r="B13" s="194" t="s">
        <v>139</v>
      </c>
      <c r="C13" s="195">
        <v>175</v>
      </c>
      <c r="D13" s="126">
        <f>ROUND('Lighting RD'!F14,2)</f>
        <v>0.19</v>
      </c>
      <c r="E13" s="163" t="s">
        <v>67</v>
      </c>
    </row>
    <row r="14" spans="1:5" x14ac:dyDescent="0.2">
      <c r="A14" s="190">
        <f t="shared" si="0"/>
        <v>7</v>
      </c>
      <c r="B14" s="194" t="s">
        <v>139</v>
      </c>
      <c r="C14" s="195">
        <v>400</v>
      </c>
      <c r="D14" s="126">
        <f>ROUND('Lighting RD'!F15,2)</f>
        <v>0.42</v>
      </c>
      <c r="E14" s="163" t="s">
        <v>67</v>
      </c>
    </row>
    <row r="15" spans="1:5" x14ac:dyDescent="0.2">
      <c r="A15" s="190">
        <f t="shared" si="0"/>
        <v>8</v>
      </c>
      <c r="B15" s="194" t="s">
        <v>139</v>
      </c>
      <c r="C15" s="195">
        <v>700</v>
      </c>
      <c r="D15" s="126">
        <f>ROUND('Lighting RD'!F16,2)</f>
        <v>0.74</v>
      </c>
      <c r="E15" s="163" t="s">
        <v>67</v>
      </c>
    </row>
    <row r="16" spans="1:5" x14ac:dyDescent="0.2">
      <c r="A16" s="190">
        <f t="shared" si="0"/>
        <v>9</v>
      </c>
      <c r="B16" s="198"/>
      <c r="C16" s="193"/>
      <c r="D16" s="126"/>
      <c r="E16" s="197"/>
    </row>
    <row r="17" spans="1:5" ht="13.5" x14ac:dyDescent="0.35">
      <c r="A17" s="190">
        <f t="shared" si="0"/>
        <v>10</v>
      </c>
      <c r="B17" s="191" t="s">
        <v>121</v>
      </c>
      <c r="C17" s="193"/>
      <c r="D17" s="126"/>
      <c r="E17" s="197"/>
    </row>
    <row r="18" spans="1:5" x14ac:dyDescent="0.2">
      <c r="A18" s="190">
        <f t="shared" si="0"/>
        <v>11</v>
      </c>
      <c r="B18" s="194" t="s">
        <v>140</v>
      </c>
      <c r="C18" s="193" t="s">
        <v>76</v>
      </c>
      <c r="D18" s="126">
        <f>ROUND('Lighting RD'!F19,2)</f>
        <v>0.02</v>
      </c>
      <c r="E18" s="163" t="s">
        <v>68</v>
      </c>
    </row>
    <row r="19" spans="1:5" x14ac:dyDescent="0.2">
      <c r="A19" s="190">
        <f t="shared" si="0"/>
        <v>12</v>
      </c>
      <c r="B19" s="194" t="s">
        <v>140</v>
      </c>
      <c r="C19" s="199" t="s">
        <v>64</v>
      </c>
      <c r="D19" s="126">
        <f>ROUND('Lighting RD'!F20,2)</f>
        <v>0.05</v>
      </c>
      <c r="E19" s="163" t="s">
        <v>68</v>
      </c>
    </row>
    <row r="20" spans="1:5" x14ac:dyDescent="0.2">
      <c r="A20" s="190">
        <f t="shared" si="0"/>
        <v>13</v>
      </c>
      <c r="B20" s="194" t="s">
        <v>140</v>
      </c>
      <c r="C20" s="195" t="s">
        <v>34</v>
      </c>
      <c r="D20" s="126">
        <f>ROUND('Lighting RD'!F21,2)</f>
        <v>0.08</v>
      </c>
      <c r="E20" s="163" t="s">
        <v>68</v>
      </c>
    </row>
    <row r="21" spans="1:5" x14ac:dyDescent="0.2">
      <c r="A21" s="190">
        <f t="shared" si="0"/>
        <v>14</v>
      </c>
      <c r="B21" s="194" t="s">
        <v>140</v>
      </c>
      <c r="C21" s="195" t="s">
        <v>35</v>
      </c>
      <c r="D21" s="126">
        <f>ROUND('Lighting RD'!F22,2)</f>
        <v>0.11</v>
      </c>
      <c r="E21" s="163" t="s">
        <v>68</v>
      </c>
    </row>
    <row r="22" spans="1:5" x14ac:dyDescent="0.2">
      <c r="A22" s="190">
        <f t="shared" si="0"/>
        <v>15</v>
      </c>
      <c r="B22" s="194" t="s">
        <v>140</v>
      </c>
      <c r="C22" s="195" t="s">
        <v>36</v>
      </c>
      <c r="D22" s="126">
        <f>ROUND('Lighting RD'!F23,2)</f>
        <v>0.14000000000000001</v>
      </c>
      <c r="E22" s="163" t="s">
        <v>68</v>
      </c>
    </row>
    <row r="23" spans="1:5" x14ac:dyDescent="0.2">
      <c r="A23" s="190">
        <f t="shared" si="0"/>
        <v>16</v>
      </c>
      <c r="B23" s="194" t="s">
        <v>140</v>
      </c>
      <c r="C23" s="195" t="s">
        <v>37</v>
      </c>
      <c r="D23" s="126">
        <f>ROUND('Lighting RD'!F24,2)</f>
        <v>0.17</v>
      </c>
      <c r="E23" s="163" t="s">
        <v>68</v>
      </c>
    </row>
    <row r="24" spans="1:5" x14ac:dyDescent="0.2">
      <c r="A24" s="190">
        <f t="shared" si="0"/>
        <v>17</v>
      </c>
      <c r="B24" s="194" t="s">
        <v>140</v>
      </c>
      <c r="C24" s="195" t="s">
        <v>38</v>
      </c>
      <c r="D24" s="126">
        <f>ROUND('Lighting RD'!F25,2)</f>
        <v>0.21</v>
      </c>
      <c r="E24" s="163" t="s">
        <v>68</v>
      </c>
    </row>
    <row r="25" spans="1:5" x14ac:dyDescent="0.2">
      <c r="A25" s="190">
        <f t="shared" si="0"/>
        <v>18</v>
      </c>
      <c r="B25" s="194" t="s">
        <v>140</v>
      </c>
      <c r="C25" s="195" t="s">
        <v>39</v>
      </c>
      <c r="D25" s="126">
        <f>ROUND('Lighting RD'!F26,2)</f>
        <v>0.24</v>
      </c>
      <c r="E25" s="163" t="s">
        <v>68</v>
      </c>
    </row>
    <row r="26" spans="1:5" x14ac:dyDescent="0.2">
      <c r="A26" s="190">
        <f t="shared" si="0"/>
        <v>19</v>
      </c>
      <c r="B26" s="194" t="s">
        <v>140</v>
      </c>
      <c r="C26" s="195" t="s">
        <v>40</v>
      </c>
      <c r="D26" s="126">
        <f>ROUND('Lighting RD'!F27,2)</f>
        <v>0.27</v>
      </c>
      <c r="E26" s="163" t="s">
        <v>68</v>
      </c>
    </row>
    <row r="27" spans="1:5" x14ac:dyDescent="0.2">
      <c r="A27" s="190">
        <f t="shared" si="0"/>
        <v>20</v>
      </c>
      <c r="B27" s="194" t="s">
        <v>140</v>
      </c>
      <c r="C27" s="195" t="s">
        <v>41</v>
      </c>
      <c r="D27" s="126">
        <f>ROUND('Lighting RD'!F28,2)</f>
        <v>0.3</v>
      </c>
      <c r="E27" s="163" t="s">
        <v>68</v>
      </c>
    </row>
    <row r="28" spans="1:5" x14ac:dyDescent="0.2">
      <c r="A28" s="190">
        <f t="shared" si="0"/>
        <v>21</v>
      </c>
      <c r="B28" s="194"/>
      <c r="C28" s="195"/>
      <c r="D28" s="126"/>
      <c r="E28" s="163"/>
    </row>
    <row r="29" spans="1:5" x14ac:dyDescent="0.2">
      <c r="A29" s="190">
        <f t="shared" si="0"/>
        <v>22</v>
      </c>
      <c r="B29" s="194" t="s">
        <v>141</v>
      </c>
      <c r="C29" s="195" t="s">
        <v>138</v>
      </c>
      <c r="D29" s="200">
        <f>ROUND('Lighting RD'!F29,6)</f>
        <v>3.026E-3</v>
      </c>
      <c r="E29" s="163" t="s">
        <v>68</v>
      </c>
    </row>
    <row r="30" spans="1:5" x14ac:dyDescent="0.2">
      <c r="A30" s="190">
        <f t="shared" si="0"/>
        <v>23</v>
      </c>
      <c r="B30" s="198"/>
      <c r="C30" s="193"/>
      <c r="D30" s="126"/>
      <c r="E30" s="197"/>
    </row>
    <row r="31" spans="1:5" ht="13.5" x14ac:dyDescent="0.35">
      <c r="A31" s="190">
        <f t="shared" si="0"/>
        <v>24</v>
      </c>
      <c r="B31" s="191" t="s">
        <v>122</v>
      </c>
      <c r="C31" s="193"/>
      <c r="D31" s="126"/>
      <c r="E31" s="197"/>
    </row>
    <row r="32" spans="1:5" x14ac:dyDescent="0.2">
      <c r="A32" s="190">
        <f t="shared" si="0"/>
        <v>25</v>
      </c>
      <c r="B32" s="194" t="s">
        <v>142</v>
      </c>
      <c r="C32" s="195">
        <v>50</v>
      </c>
      <c r="D32" s="126">
        <f>ROUND('Lighting RD'!F32,2)</f>
        <v>0.05</v>
      </c>
      <c r="E32" s="163" t="s">
        <v>69</v>
      </c>
    </row>
    <row r="33" spans="1:5" x14ac:dyDescent="0.2">
      <c r="A33" s="190">
        <f t="shared" si="0"/>
        <v>26</v>
      </c>
      <c r="B33" s="194" t="s">
        <v>142</v>
      </c>
      <c r="C33" s="195">
        <v>70</v>
      </c>
      <c r="D33" s="126">
        <f>ROUND('Lighting RD'!F33,2)</f>
        <v>7.0000000000000007E-2</v>
      </c>
      <c r="E33" s="163" t="s">
        <v>69</v>
      </c>
    </row>
    <row r="34" spans="1:5" x14ac:dyDescent="0.2">
      <c r="A34" s="190">
        <f t="shared" si="0"/>
        <v>27</v>
      </c>
      <c r="B34" s="194" t="s">
        <v>142</v>
      </c>
      <c r="C34" s="195">
        <v>100</v>
      </c>
      <c r="D34" s="126">
        <f>ROUND('Lighting RD'!F34,2)</f>
        <v>0.11</v>
      </c>
      <c r="E34" s="163" t="s">
        <v>69</v>
      </c>
    </row>
    <row r="35" spans="1:5" x14ac:dyDescent="0.2">
      <c r="A35" s="190">
        <f t="shared" si="0"/>
        <v>28</v>
      </c>
      <c r="B35" s="194" t="s">
        <v>142</v>
      </c>
      <c r="C35" s="195">
        <v>150</v>
      </c>
      <c r="D35" s="126">
        <f>ROUND('Lighting RD'!F35,2)</f>
        <v>0.16</v>
      </c>
      <c r="E35" s="163" t="s">
        <v>69</v>
      </c>
    </row>
    <row r="36" spans="1:5" x14ac:dyDescent="0.2">
      <c r="A36" s="190">
        <f t="shared" si="0"/>
        <v>29</v>
      </c>
      <c r="B36" s="194" t="s">
        <v>142</v>
      </c>
      <c r="C36" s="195">
        <v>200</v>
      </c>
      <c r="D36" s="126">
        <f>ROUND('Lighting RD'!F36,2)</f>
        <v>0.21</v>
      </c>
      <c r="E36" s="163" t="s">
        <v>69</v>
      </c>
    </row>
    <row r="37" spans="1:5" x14ac:dyDescent="0.2">
      <c r="A37" s="190">
        <f t="shared" si="0"/>
        <v>30</v>
      </c>
      <c r="B37" s="194" t="s">
        <v>142</v>
      </c>
      <c r="C37" s="195">
        <v>250</v>
      </c>
      <c r="D37" s="126">
        <f>ROUND('Lighting RD'!F37,2)</f>
        <v>0.26</v>
      </c>
      <c r="E37" s="163" t="s">
        <v>69</v>
      </c>
    </row>
    <row r="38" spans="1:5" x14ac:dyDescent="0.2">
      <c r="A38" s="190">
        <f t="shared" si="0"/>
        <v>31</v>
      </c>
      <c r="B38" s="194" t="s">
        <v>142</v>
      </c>
      <c r="C38" s="195">
        <v>310</v>
      </c>
      <c r="D38" s="126">
        <f>ROUND('Lighting RD'!F38,2)</f>
        <v>0.33</v>
      </c>
      <c r="E38" s="163" t="s">
        <v>69</v>
      </c>
    </row>
    <row r="39" spans="1:5" x14ac:dyDescent="0.2">
      <c r="A39" s="190">
        <f t="shared" si="0"/>
        <v>32</v>
      </c>
      <c r="B39" s="194" t="s">
        <v>142</v>
      </c>
      <c r="C39" s="195">
        <v>400</v>
      </c>
      <c r="D39" s="126">
        <f>ROUND('Lighting RD'!F39,2)</f>
        <v>0.42</v>
      </c>
      <c r="E39" s="163" t="s">
        <v>69</v>
      </c>
    </row>
    <row r="40" spans="1:5" x14ac:dyDescent="0.2">
      <c r="A40" s="190">
        <f t="shared" si="0"/>
        <v>33</v>
      </c>
      <c r="B40" s="201"/>
      <c r="C40" s="195"/>
      <c r="D40" s="126"/>
      <c r="E40" s="197"/>
    </row>
    <row r="41" spans="1:5" x14ac:dyDescent="0.2">
      <c r="A41" s="190">
        <f t="shared" ref="A41:A72" si="1">A40+1</f>
        <v>34</v>
      </c>
      <c r="B41" s="194" t="s">
        <v>143</v>
      </c>
      <c r="C41" s="195">
        <v>70</v>
      </c>
      <c r="D41" s="126">
        <f>ROUND('Lighting RD'!F41,2)</f>
        <v>7.0000000000000007E-2</v>
      </c>
      <c r="E41" s="163" t="s">
        <v>69</v>
      </c>
    </row>
    <row r="42" spans="1:5" x14ac:dyDescent="0.2">
      <c r="A42" s="190">
        <f t="shared" si="1"/>
        <v>35</v>
      </c>
      <c r="B42" s="194" t="s">
        <v>143</v>
      </c>
      <c r="C42" s="195">
        <v>100</v>
      </c>
      <c r="D42" s="126">
        <f>ROUND('Lighting RD'!F42,2)</f>
        <v>0.11</v>
      </c>
      <c r="E42" s="163" t="s">
        <v>69</v>
      </c>
    </row>
    <row r="43" spans="1:5" x14ac:dyDescent="0.2">
      <c r="A43" s="190">
        <f t="shared" si="1"/>
        <v>36</v>
      </c>
      <c r="B43" s="194" t="s">
        <v>143</v>
      </c>
      <c r="C43" s="195">
        <v>150</v>
      </c>
      <c r="D43" s="126">
        <f>ROUND('Lighting RD'!F43,2)</f>
        <v>0.16</v>
      </c>
      <c r="E43" s="163" t="s">
        <v>69</v>
      </c>
    </row>
    <row r="44" spans="1:5" x14ac:dyDescent="0.2">
      <c r="A44" s="190">
        <f t="shared" si="1"/>
        <v>37</v>
      </c>
      <c r="B44" s="194" t="s">
        <v>143</v>
      </c>
      <c r="C44" s="195">
        <v>175</v>
      </c>
      <c r="D44" s="126">
        <f>ROUND('Lighting RD'!F44,2)</f>
        <v>0.19</v>
      </c>
      <c r="E44" s="163" t="s">
        <v>69</v>
      </c>
    </row>
    <row r="45" spans="1:5" x14ac:dyDescent="0.2">
      <c r="A45" s="190">
        <f t="shared" si="1"/>
        <v>38</v>
      </c>
      <c r="B45" s="194" t="s">
        <v>143</v>
      </c>
      <c r="C45" s="195">
        <v>250</v>
      </c>
      <c r="D45" s="126">
        <f>ROUND('Lighting RD'!F45,2)</f>
        <v>0.26</v>
      </c>
      <c r="E45" s="163" t="s">
        <v>69</v>
      </c>
    </row>
    <row r="46" spans="1:5" x14ac:dyDescent="0.2">
      <c r="A46" s="190">
        <f t="shared" si="1"/>
        <v>39</v>
      </c>
      <c r="B46" s="194" t="s">
        <v>143</v>
      </c>
      <c r="C46" s="195">
        <v>400</v>
      </c>
      <c r="D46" s="126">
        <f>ROUND('Lighting RD'!F46,2)</f>
        <v>0.42</v>
      </c>
      <c r="E46" s="163" t="s">
        <v>69</v>
      </c>
    </row>
    <row r="47" spans="1:5" x14ac:dyDescent="0.2">
      <c r="A47" s="190">
        <f t="shared" si="1"/>
        <v>40</v>
      </c>
      <c r="B47" s="194" t="s">
        <v>143</v>
      </c>
      <c r="C47" s="195">
        <v>1000</v>
      </c>
      <c r="D47" s="126">
        <f>ROUND('Lighting RD'!F47,2)</f>
        <v>1.06</v>
      </c>
      <c r="E47" s="163" t="s">
        <v>69</v>
      </c>
    </row>
    <row r="48" spans="1:5" x14ac:dyDescent="0.2">
      <c r="A48" s="190">
        <f t="shared" si="1"/>
        <v>41</v>
      </c>
      <c r="B48" s="198"/>
      <c r="C48" s="193"/>
      <c r="D48" s="126"/>
      <c r="E48" s="197"/>
    </row>
    <row r="49" spans="1:5" ht="13.5" x14ac:dyDescent="0.35">
      <c r="A49" s="190">
        <f t="shared" si="1"/>
        <v>42</v>
      </c>
      <c r="B49" s="191" t="s">
        <v>123</v>
      </c>
      <c r="C49" s="193"/>
      <c r="D49" s="126"/>
      <c r="E49" s="197"/>
    </row>
    <row r="50" spans="1:5" x14ac:dyDescent="0.2">
      <c r="A50" s="190">
        <f t="shared" si="1"/>
        <v>43</v>
      </c>
      <c r="B50" s="194" t="s">
        <v>144</v>
      </c>
      <c r="C50" s="195">
        <v>50</v>
      </c>
      <c r="D50" s="126">
        <f>ROUND('Lighting RD'!F50,2)</f>
        <v>0.05</v>
      </c>
      <c r="E50" s="163" t="s">
        <v>69</v>
      </c>
    </row>
    <row r="51" spans="1:5" x14ac:dyDescent="0.2">
      <c r="A51" s="190">
        <f t="shared" si="1"/>
        <v>44</v>
      </c>
      <c r="B51" s="194" t="s">
        <v>144</v>
      </c>
      <c r="C51" s="195">
        <v>70</v>
      </c>
      <c r="D51" s="126">
        <f>ROUND('Lighting RD'!F51,2)</f>
        <v>7.0000000000000007E-2</v>
      </c>
      <c r="E51" s="163" t="s">
        <v>69</v>
      </c>
    </row>
    <row r="52" spans="1:5" x14ac:dyDescent="0.2">
      <c r="A52" s="190">
        <f t="shared" si="1"/>
        <v>45</v>
      </c>
      <c r="B52" s="194" t="s">
        <v>144</v>
      </c>
      <c r="C52" s="195">
        <v>100</v>
      </c>
      <c r="D52" s="126">
        <f>ROUND('Lighting RD'!F52,2)</f>
        <v>0.11</v>
      </c>
      <c r="E52" s="163" t="s">
        <v>69</v>
      </c>
    </row>
    <row r="53" spans="1:5" x14ac:dyDescent="0.2">
      <c r="A53" s="190">
        <f t="shared" si="1"/>
        <v>46</v>
      </c>
      <c r="B53" s="194" t="s">
        <v>144</v>
      </c>
      <c r="C53" s="195">
        <v>150</v>
      </c>
      <c r="D53" s="126">
        <f>ROUND('Lighting RD'!F53,2)</f>
        <v>0.16</v>
      </c>
      <c r="E53" s="163" t="s">
        <v>69</v>
      </c>
    </row>
    <row r="54" spans="1:5" x14ac:dyDescent="0.2">
      <c r="A54" s="190">
        <f t="shared" si="1"/>
        <v>47</v>
      </c>
      <c r="B54" s="194" t="s">
        <v>144</v>
      </c>
      <c r="C54" s="195">
        <v>200</v>
      </c>
      <c r="D54" s="126">
        <f>ROUND('Lighting RD'!F54,2)</f>
        <v>0.21</v>
      </c>
      <c r="E54" s="163" t="s">
        <v>69</v>
      </c>
    </row>
    <row r="55" spans="1:5" x14ac:dyDescent="0.2">
      <c r="A55" s="190">
        <f t="shared" si="1"/>
        <v>48</v>
      </c>
      <c r="B55" s="194" t="s">
        <v>144</v>
      </c>
      <c r="C55" s="195">
        <v>250</v>
      </c>
      <c r="D55" s="126">
        <f>ROUND('Lighting RD'!F55,2)</f>
        <v>0.26</v>
      </c>
      <c r="E55" s="163" t="s">
        <v>69</v>
      </c>
    </row>
    <row r="56" spans="1:5" x14ac:dyDescent="0.2">
      <c r="A56" s="190">
        <f t="shared" si="1"/>
        <v>49</v>
      </c>
      <c r="B56" s="194" t="s">
        <v>144</v>
      </c>
      <c r="C56" s="195">
        <v>310</v>
      </c>
      <c r="D56" s="126">
        <f>ROUND('Lighting RD'!F56,2)</f>
        <v>0.33</v>
      </c>
      <c r="E56" s="163" t="s">
        <v>69</v>
      </c>
    </row>
    <row r="57" spans="1:5" x14ac:dyDescent="0.2">
      <c r="A57" s="190">
        <f t="shared" si="1"/>
        <v>50</v>
      </c>
      <c r="B57" s="194" t="s">
        <v>144</v>
      </c>
      <c r="C57" s="195">
        <v>400</v>
      </c>
      <c r="D57" s="126">
        <f>ROUND('Lighting RD'!F57,2)</f>
        <v>0.42</v>
      </c>
      <c r="E57" s="163" t="s">
        <v>69</v>
      </c>
    </row>
    <row r="58" spans="1:5" x14ac:dyDescent="0.2">
      <c r="A58" s="190">
        <f t="shared" si="1"/>
        <v>51</v>
      </c>
      <c r="B58" s="194" t="s">
        <v>144</v>
      </c>
      <c r="C58" s="195">
        <v>1000</v>
      </c>
      <c r="D58" s="126">
        <f>ROUND('Lighting RD'!F58,2)</f>
        <v>1.06</v>
      </c>
      <c r="E58" s="163" t="s">
        <v>69</v>
      </c>
    </row>
    <row r="59" spans="1:5" x14ac:dyDescent="0.2">
      <c r="A59" s="190">
        <f t="shared" si="1"/>
        <v>52</v>
      </c>
      <c r="B59" s="201"/>
      <c r="C59" s="195"/>
      <c r="D59" s="126"/>
      <c r="E59" s="197"/>
    </row>
    <row r="60" spans="1:5" x14ac:dyDescent="0.2">
      <c r="A60" s="190">
        <f t="shared" si="1"/>
        <v>53</v>
      </c>
      <c r="B60" s="194" t="s">
        <v>145</v>
      </c>
      <c r="C60" s="195">
        <v>70</v>
      </c>
      <c r="D60" s="126">
        <f>ROUND('Lighting RD'!F60,2)</f>
        <v>7.0000000000000007E-2</v>
      </c>
      <c r="E60" s="163" t="s">
        <v>70</v>
      </c>
    </row>
    <row r="61" spans="1:5" x14ac:dyDescent="0.2">
      <c r="A61" s="190">
        <f t="shared" si="1"/>
        <v>54</v>
      </c>
      <c r="B61" s="194" t="s">
        <v>145</v>
      </c>
      <c r="C61" s="195">
        <v>100</v>
      </c>
      <c r="D61" s="126">
        <f>ROUND('Lighting RD'!F61,2)</f>
        <v>0.11</v>
      </c>
      <c r="E61" s="163" t="s">
        <v>70</v>
      </c>
    </row>
    <row r="62" spans="1:5" x14ac:dyDescent="0.2">
      <c r="A62" s="190">
        <f t="shared" si="1"/>
        <v>55</v>
      </c>
      <c r="B62" s="194" t="s">
        <v>145</v>
      </c>
      <c r="C62" s="195">
        <v>150</v>
      </c>
      <c r="D62" s="126">
        <f>ROUND('Lighting RD'!F62,2)</f>
        <v>0.16</v>
      </c>
      <c r="E62" s="163" t="s">
        <v>70</v>
      </c>
    </row>
    <row r="63" spans="1:5" x14ac:dyDescent="0.2">
      <c r="A63" s="190">
        <f t="shared" si="1"/>
        <v>56</v>
      </c>
      <c r="B63" s="194" t="s">
        <v>145</v>
      </c>
      <c r="C63" s="195">
        <v>175</v>
      </c>
      <c r="D63" s="126">
        <f>ROUND('Lighting RD'!F63,2)</f>
        <v>0.19</v>
      </c>
      <c r="E63" s="163" t="s">
        <v>70</v>
      </c>
    </row>
    <row r="64" spans="1:5" x14ac:dyDescent="0.2">
      <c r="A64" s="190">
        <f t="shared" si="1"/>
        <v>57</v>
      </c>
      <c r="B64" s="194" t="s">
        <v>145</v>
      </c>
      <c r="C64" s="195">
        <v>250</v>
      </c>
      <c r="D64" s="126">
        <f>ROUND('Lighting RD'!F64,2)</f>
        <v>0.26</v>
      </c>
      <c r="E64" s="163" t="s">
        <v>70</v>
      </c>
    </row>
    <row r="65" spans="1:5" x14ac:dyDescent="0.2">
      <c r="A65" s="190">
        <f t="shared" si="1"/>
        <v>58</v>
      </c>
      <c r="B65" s="194" t="s">
        <v>145</v>
      </c>
      <c r="C65" s="195">
        <v>400</v>
      </c>
      <c r="D65" s="126">
        <f>ROUND('Lighting RD'!F65,2)</f>
        <v>0.42</v>
      </c>
      <c r="E65" s="163" t="s">
        <v>70</v>
      </c>
    </row>
    <row r="66" spans="1:5" x14ac:dyDescent="0.2">
      <c r="A66" s="190">
        <f t="shared" si="1"/>
        <v>59</v>
      </c>
      <c r="B66" s="201"/>
      <c r="C66" s="195"/>
      <c r="D66" s="126"/>
      <c r="E66" s="197"/>
    </row>
    <row r="67" spans="1:5" x14ac:dyDescent="0.2">
      <c r="A67" s="190">
        <f t="shared" si="1"/>
        <v>60</v>
      </c>
      <c r="B67" s="194" t="s">
        <v>146</v>
      </c>
      <c r="C67" s="193" t="s">
        <v>76</v>
      </c>
      <c r="D67" s="126">
        <f>ROUND('Lighting RD'!F67,2)</f>
        <v>0.02</v>
      </c>
      <c r="E67" s="163" t="s">
        <v>68</v>
      </c>
    </row>
    <row r="68" spans="1:5" x14ac:dyDescent="0.2">
      <c r="A68" s="190">
        <f t="shared" si="1"/>
        <v>61</v>
      </c>
      <c r="B68" s="194" t="s">
        <v>146</v>
      </c>
      <c r="C68" s="199" t="s">
        <v>64</v>
      </c>
      <c r="D68" s="126">
        <f>ROUND('Lighting RD'!F68,2)</f>
        <v>0.05</v>
      </c>
      <c r="E68" s="163" t="s">
        <v>68</v>
      </c>
    </row>
    <row r="69" spans="1:5" x14ac:dyDescent="0.2">
      <c r="A69" s="190">
        <f t="shared" si="1"/>
        <v>62</v>
      </c>
      <c r="B69" s="194" t="s">
        <v>146</v>
      </c>
      <c r="C69" s="195" t="s">
        <v>34</v>
      </c>
      <c r="D69" s="126">
        <f>ROUND('Lighting RD'!F69,2)</f>
        <v>0.08</v>
      </c>
      <c r="E69" s="163" t="s">
        <v>68</v>
      </c>
    </row>
    <row r="70" spans="1:5" x14ac:dyDescent="0.2">
      <c r="A70" s="190">
        <f t="shared" si="1"/>
        <v>63</v>
      </c>
      <c r="B70" s="194" t="s">
        <v>146</v>
      </c>
      <c r="C70" s="195" t="s">
        <v>35</v>
      </c>
      <c r="D70" s="126">
        <f>ROUND('Lighting RD'!F70,2)</f>
        <v>0.11</v>
      </c>
      <c r="E70" s="163" t="s">
        <v>68</v>
      </c>
    </row>
    <row r="71" spans="1:5" x14ac:dyDescent="0.2">
      <c r="A71" s="190">
        <f t="shared" si="1"/>
        <v>64</v>
      </c>
      <c r="B71" s="194" t="s">
        <v>146</v>
      </c>
      <c r="C71" s="195" t="s">
        <v>36</v>
      </c>
      <c r="D71" s="126">
        <f>ROUND('Lighting RD'!F71,2)</f>
        <v>0.14000000000000001</v>
      </c>
      <c r="E71" s="163" t="s">
        <v>68</v>
      </c>
    </row>
    <row r="72" spans="1:5" x14ac:dyDescent="0.2">
      <c r="A72" s="190">
        <f t="shared" si="1"/>
        <v>65</v>
      </c>
      <c r="B72" s="194" t="s">
        <v>146</v>
      </c>
      <c r="C72" s="195" t="s">
        <v>37</v>
      </c>
      <c r="D72" s="126">
        <f>ROUND('Lighting RD'!F72,2)</f>
        <v>0.17</v>
      </c>
      <c r="E72" s="163" t="s">
        <v>68</v>
      </c>
    </row>
    <row r="73" spans="1:5" x14ac:dyDescent="0.2">
      <c r="A73" s="190">
        <f t="shared" ref="A73:A104" si="2">A72+1</f>
        <v>66</v>
      </c>
      <c r="B73" s="194" t="s">
        <v>146</v>
      </c>
      <c r="C73" s="195" t="s">
        <v>38</v>
      </c>
      <c r="D73" s="126">
        <f>ROUND('Lighting RD'!F73,2)</f>
        <v>0.21</v>
      </c>
      <c r="E73" s="163" t="s">
        <v>68</v>
      </c>
    </row>
    <row r="74" spans="1:5" x14ac:dyDescent="0.2">
      <c r="A74" s="190">
        <f t="shared" si="2"/>
        <v>67</v>
      </c>
      <c r="B74" s="194" t="s">
        <v>146</v>
      </c>
      <c r="C74" s="195" t="s">
        <v>39</v>
      </c>
      <c r="D74" s="126">
        <f>ROUND('Lighting RD'!F74,2)</f>
        <v>0.24</v>
      </c>
      <c r="E74" s="163" t="s">
        <v>68</v>
      </c>
    </row>
    <row r="75" spans="1:5" x14ac:dyDescent="0.2">
      <c r="A75" s="190">
        <f t="shared" si="2"/>
        <v>68</v>
      </c>
      <c r="B75" s="194" t="s">
        <v>146</v>
      </c>
      <c r="C75" s="195" t="s">
        <v>40</v>
      </c>
      <c r="D75" s="126">
        <f>ROUND('Lighting RD'!F75,2)</f>
        <v>0.27</v>
      </c>
      <c r="E75" s="163" t="s">
        <v>68</v>
      </c>
    </row>
    <row r="76" spans="1:5" x14ac:dyDescent="0.2">
      <c r="A76" s="190">
        <f t="shared" si="2"/>
        <v>69</v>
      </c>
      <c r="B76" s="194" t="s">
        <v>146</v>
      </c>
      <c r="C76" s="195" t="s">
        <v>41</v>
      </c>
      <c r="D76" s="126">
        <f>ROUND('Lighting RD'!F76,2)</f>
        <v>0.3</v>
      </c>
      <c r="E76" s="163" t="s">
        <v>68</v>
      </c>
    </row>
    <row r="77" spans="1:5" x14ac:dyDescent="0.2">
      <c r="A77" s="190">
        <f t="shared" si="2"/>
        <v>70</v>
      </c>
      <c r="B77" s="194"/>
      <c r="C77" s="195"/>
      <c r="D77" s="126"/>
      <c r="E77" s="163"/>
    </row>
    <row r="78" spans="1:5" x14ac:dyDescent="0.2">
      <c r="A78" s="190">
        <f t="shared" si="2"/>
        <v>71</v>
      </c>
      <c r="B78" s="194" t="s">
        <v>195</v>
      </c>
      <c r="C78" s="195" t="s">
        <v>138</v>
      </c>
      <c r="D78" s="200">
        <f>ROUND('Lighting RD'!F77,6)</f>
        <v>3.026E-3</v>
      </c>
      <c r="E78" s="163" t="s">
        <v>68</v>
      </c>
    </row>
    <row r="79" spans="1:5" x14ac:dyDescent="0.2">
      <c r="A79" s="190">
        <f t="shared" si="2"/>
        <v>72</v>
      </c>
      <c r="C79" s="195"/>
      <c r="D79" s="126"/>
      <c r="E79" s="197"/>
    </row>
    <row r="80" spans="1:5" ht="13.5" x14ac:dyDescent="0.35">
      <c r="A80" s="190">
        <f t="shared" si="2"/>
        <v>73</v>
      </c>
      <c r="B80" s="191" t="s">
        <v>124</v>
      </c>
      <c r="C80" s="193"/>
      <c r="D80" s="126"/>
      <c r="E80" s="197"/>
    </row>
    <row r="81" spans="1:5" x14ac:dyDescent="0.2">
      <c r="A81" s="190">
        <f t="shared" si="2"/>
        <v>74</v>
      </c>
      <c r="B81" s="194" t="s">
        <v>147</v>
      </c>
      <c r="C81" s="195">
        <v>50</v>
      </c>
      <c r="D81" s="126">
        <f>ROUND('Lighting RD'!F80,2)</f>
        <v>0.05</v>
      </c>
      <c r="E81" s="163" t="s">
        <v>70</v>
      </c>
    </row>
    <row r="82" spans="1:5" x14ac:dyDescent="0.2">
      <c r="A82" s="190">
        <f t="shared" si="2"/>
        <v>75</v>
      </c>
      <c r="B82" s="194" t="s">
        <v>147</v>
      </c>
      <c r="C82" s="195">
        <v>70</v>
      </c>
      <c r="D82" s="126">
        <f>ROUND('Lighting RD'!F81,2)</f>
        <v>7.0000000000000007E-2</v>
      </c>
      <c r="E82" s="163" t="s">
        <v>70</v>
      </c>
    </row>
    <row r="83" spans="1:5" x14ac:dyDescent="0.2">
      <c r="A83" s="190">
        <f t="shared" si="2"/>
        <v>76</v>
      </c>
      <c r="B83" s="194" t="s">
        <v>147</v>
      </c>
      <c r="C83" s="195">
        <v>100</v>
      </c>
      <c r="D83" s="126">
        <f>ROUND('Lighting RD'!F82,2)</f>
        <v>0.11</v>
      </c>
      <c r="E83" s="163" t="s">
        <v>70</v>
      </c>
    </row>
    <row r="84" spans="1:5" x14ac:dyDescent="0.2">
      <c r="A84" s="190">
        <f t="shared" si="2"/>
        <v>77</v>
      </c>
      <c r="B84" s="194" t="s">
        <v>147</v>
      </c>
      <c r="C84" s="195">
        <v>150</v>
      </c>
      <c r="D84" s="126">
        <f>ROUND('Lighting RD'!F83,2)</f>
        <v>0.16</v>
      </c>
      <c r="E84" s="163" t="s">
        <v>70</v>
      </c>
    </row>
    <row r="85" spans="1:5" x14ac:dyDescent="0.2">
      <c r="A85" s="190">
        <f t="shared" si="2"/>
        <v>78</v>
      </c>
      <c r="B85" s="194" t="s">
        <v>147</v>
      </c>
      <c r="C85" s="195">
        <v>200</v>
      </c>
      <c r="D85" s="126">
        <f>ROUND('Lighting RD'!F84,2)</f>
        <v>0.21</v>
      </c>
      <c r="E85" s="163" t="s">
        <v>70</v>
      </c>
    </row>
    <row r="86" spans="1:5" x14ac:dyDescent="0.2">
      <c r="A86" s="190">
        <f t="shared" si="2"/>
        <v>79</v>
      </c>
      <c r="B86" s="194" t="s">
        <v>147</v>
      </c>
      <c r="C86" s="195">
        <v>250</v>
      </c>
      <c r="D86" s="126">
        <f>ROUND('Lighting RD'!F85,2)</f>
        <v>0.26</v>
      </c>
      <c r="E86" s="163" t="s">
        <v>70</v>
      </c>
    </row>
    <row r="87" spans="1:5" x14ac:dyDescent="0.2">
      <c r="A87" s="190">
        <f t="shared" si="2"/>
        <v>80</v>
      </c>
      <c r="B87" s="194" t="s">
        <v>147</v>
      </c>
      <c r="C87" s="195">
        <v>310</v>
      </c>
      <c r="D87" s="126">
        <f>ROUND('Lighting RD'!F86,2)</f>
        <v>0.33</v>
      </c>
      <c r="E87" s="163" t="s">
        <v>70</v>
      </c>
    </row>
    <row r="88" spans="1:5" x14ac:dyDescent="0.2">
      <c r="A88" s="190">
        <f t="shared" si="2"/>
        <v>81</v>
      </c>
      <c r="B88" s="194" t="s">
        <v>147</v>
      </c>
      <c r="C88" s="195">
        <v>400</v>
      </c>
      <c r="D88" s="126">
        <f>ROUND('Lighting RD'!F87,2)</f>
        <v>0.42</v>
      </c>
      <c r="E88" s="163" t="s">
        <v>70</v>
      </c>
    </row>
    <row r="89" spans="1:5" x14ac:dyDescent="0.2">
      <c r="A89" s="190">
        <f t="shared" si="2"/>
        <v>82</v>
      </c>
      <c r="B89" s="194" t="s">
        <v>147</v>
      </c>
      <c r="C89" s="195">
        <v>1000</v>
      </c>
      <c r="D89" s="126">
        <f>ROUND('Lighting RD'!F88,2)</f>
        <v>1.06</v>
      </c>
      <c r="E89" s="163" t="s">
        <v>70</v>
      </c>
    </row>
    <row r="90" spans="1:5" x14ac:dyDescent="0.2">
      <c r="A90" s="190">
        <f t="shared" si="2"/>
        <v>83</v>
      </c>
      <c r="B90" s="201"/>
      <c r="C90" s="195"/>
      <c r="D90" s="126"/>
      <c r="E90" s="197"/>
    </row>
    <row r="91" spans="1:5" x14ac:dyDescent="0.2">
      <c r="A91" s="190">
        <f t="shared" si="2"/>
        <v>84</v>
      </c>
      <c r="B91" s="194" t="s">
        <v>148</v>
      </c>
      <c r="C91" s="199" t="s">
        <v>77</v>
      </c>
      <c r="D91" s="126">
        <f>ROUND('Lighting RD'!F90,2)</f>
        <v>0.02</v>
      </c>
      <c r="E91" s="197"/>
    </row>
    <row r="92" spans="1:5" x14ac:dyDescent="0.2">
      <c r="A92" s="190">
        <f t="shared" si="2"/>
        <v>85</v>
      </c>
      <c r="B92" s="194" t="s">
        <v>148</v>
      </c>
      <c r="C92" s="199" t="s">
        <v>78</v>
      </c>
      <c r="D92" s="126">
        <f>ROUND('Lighting RD'!F91,2)</f>
        <v>0.05</v>
      </c>
      <c r="E92" s="163" t="s">
        <v>68</v>
      </c>
    </row>
    <row r="93" spans="1:5" x14ac:dyDescent="0.2">
      <c r="A93" s="190">
        <f t="shared" si="2"/>
        <v>86</v>
      </c>
      <c r="B93" s="194" t="s">
        <v>148</v>
      </c>
      <c r="C93" s="195" t="s">
        <v>34</v>
      </c>
      <c r="D93" s="126">
        <f>ROUND('Lighting RD'!F92,2)</f>
        <v>0.08</v>
      </c>
      <c r="E93" s="163" t="s">
        <v>68</v>
      </c>
    </row>
    <row r="94" spans="1:5" x14ac:dyDescent="0.2">
      <c r="A94" s="190">
        <f t="shared" si="2"/>
        <v>87</v>
      </c>
      <c r="B94" s="194" t="s">
        <v>148</v>
      </c>
      <c r="C94" s="195" t="s">
        <v>35</v>
      </c>
      <c r="D94" s="126">
        <f>ROUND('Lighting RD'!F93,2)</f>
        <v>0.11</v>
      </c>
      <c r="E94" s="163" t="s">
        <v>68</v>
      </c>
    </row>
    <row r="95" spans="1:5" x14ac:dyDescent="0.2">
      <c r="A95" s="190">
        <f t="shared" si="2"/>
        <v>88</v>
      </c>
      <c r="B95" s="194" t="s">
        <v>148</v>
      </c>
      <c r="C95" s="195" t="s">
        <v>36</v>
      </c>
      <c r="D95" s="126">
        <f>ROUND('Lighting RD'!F94,2)</f>
        <v>0.14000000000000001</v>
      </c>
      <c r="E95" s="163" t="s">
        <v>68</v>
      </c>
    </row>
    <row r="96" spans="1:5" x14ac:dyDescent="0.2">
      <c r="A96" s="190">
        <f t="shared" si="2"/>
        <v>89</v>
      </c>
      <c r="B96" s="194" t="s">
        <v>148</v>
      </c>
      <c r="C96" s="195" t="s">
        <v>37</v>
      </c>
      <c r="D96" s="126">
        <f>ROUND('Lighting RD'!F95,2)</f>
        <v>0.17</v>
      </c>
      <c r="E96" s="163" t="s">
        <v>68</v>
      </c>
    </row>
    <row r="97" spans="1:5" x14ac:dyDescent="0.2">
      <c r="A97" s="190">
        <f t="shared" si="2"/>
        <v>90</v>
      </c>
      <c r="B97" s="194" t="s">
        <v>148</v>
      </c>
      <c r="C97" s="195" t="s">
        <v>38</v>
      </c>
      <c r="D97" s="126">
        <f>ROUND('Lighting RD'!F96,2)</f>
        <v>0.21</v>
      </c>
      <c r="E97" s="163" t="s">
        <v>68</v>
      </c>
    </row>
    <row r="98" spans="1:5" x14ac:dyDescent="0.2">
      <c r="A98" s="190">
        <f t="shared" si="2"/>
        <v>91</v>
      </c>
      <c r="B98" s="194" t="s">
        <v>148</v>
      </c>
      <c r="C98" s="195" t="s">
        <v>39</v>
      </c>
      <c r="D98" s="126">
        <f>ROUND('Lighting RD'!F97,2)</f>
        <v>0.24</v>
      </c>
      <c r="E98" s="163" t="s">
        <v>68</v>
      </c>
    </row>
    <row r="99" spans="1:5" x14ac:dyDescent="0.2">
      <c r="A99" s="190">
        <f t="shared" si="2"/>
        <v>92</v>
      </c>
      <c r="B99" s="194" t="s">
        <v>148</v>
      </c>
      <c r="C99" s="195" t="s">
        <v>40</v>
      </c>
      <c r="D99" s="126">
        <f>ROUND('Lighting RD'!F98,2)</f>
        <v>0.27</v>
      </c>
      <c r="E99" s="163" t="s">
        <v>68</v>
      </c>
    </row>
    <row r="100" spans="1:5" x14ac:dyDescent="0.2">
      <c r="A100" s="190">
        <f t="shared" si="2"/>
        <v>93</v>
      </c>
      <c r="B100" s="194" t="s">
        <v>148</v>
      </c>
      <c r="C100" s="195" t="s">
        <v>41</v>
      </c>
      <c r="D100" s="126">
        <f>ROUND('Lighting RD'!F99,2)</f>
        <v>0.3</v>
      </c>
      <c r="E100" s="163" t="s">
        <v>68</v>
      </c>
    </row>
    <row r="101" spans="1:5" x14ac:dyDescent="0.2">
      <c r="A101" s="190">
        <f t="shared" si="2"/>
        <v>94</v>
      </c>
      <c r="B101" s="201"/>
      <c r="C101" s="195"/>
      <c r="D101" s="126"/>
      <c r="E101" s="197"/>
    </row>
    <row r="102" spans="1:5" ht="13.5" x14ac:dyDescent="0.35">
      <c r="A102" s="190">
        <f t="shared" si="2"/>
        <v>95</v>
      </c>
      <c r="B102" s="191" t="s">
        <v>194</v>
      </c>
      <c r="C102" s="195"/>
      <c r="D102" s="126"/>
      <c r="E102" s="197"/>
    </row>
    <row r="103" spans="1:5" x14ac:dyDescent="0.2">
      <c r="A103" s="190">
        <f t="shared" si="2"/>
        <v>96</v>
      </c>
      <c r="B103" s="194" t="s">
        <v>149</v>
      </c>
      <c r="C103" s="195">
        <v>70</v>
      </c>
      <c r="D103" s="126">
        <f>ROUND('Lighting RD'!F102,2)</f>
        <v>7.0000000000000007E-2</v>
      </c>
      <c r="E103" s="163" t="s">
        <v>71</v>
      </c>
    </row>
    <row r="104" spans="1:5" x14ac:dyDescent="0.2">
      <c r="A104" s="190">
        <f t="shared" si="2"/>
        <v>97</v>
      </c>
      <c r="B104" s="194" t="s">
        <v>149</v>
      </c>
      <c r="C104" s="195">
        <v>100</v>
      </c>
      <c r="D104" s="126">
        <f>ROUND('Lighting RD'!F103,2)</f>
        <v>0.11</v>
      </c>
      <c r="E104" s="163" t="s">
        <v>71</v>
      </c>
    </row>
    <row r="105" spans="1:5" x14ac:dyDescent="0.2">
      <c r="A105" s="190">
        <f t="shared" ref="A105:A136" si="3">A104+1</f>
        <v>98</v>
      </c>
      <c r="B105" s="194" t="s">
        <v>149</v>
      </c>
      <c r="C105" s="195">
        <v>150</v>
      </c>
      <c r="D105" s="126">
        <f>ROUND('Lighting RD'!F104,2)</f>
        <v>0.16</v>
      </c>
      <c r="E105" s="163" t="s">
        <v>71</v>
      </c>
    </row>
    <row r="106" spans="1:5" x14ac:dyDescent="0.2">
      <c r="A106" s="190">
        <f t="shared" si="3"/>
        <v>99</v>
      </c>
      <c r="B106" s="194" t="s">
        <v>149</v>
      </c>
      <c r="C106" s="195">
        <v>200</v>
      </c>
      <c r="D106" s="126">
        <f>ROUND('Lighting RD'!F105,2)</f>
        <v>0.21</v>
      </c>
      <c r="E106" s="163" t="s">
        <v>71</v>
      </c>
    </row>
    <row r="107" spans="1:5" x14ac:dyDescent="0.2">
      <c r="A107" s="190">
        <f t="shared" si="3"/>
        <v>100</v>
      </c>
      <c r="B107" s="194" t="s">
        <v>149</v>
      </c>
      <c r="C107" s="195">
        <v>250</v>
      </c>
      <c r="D107" s="126">
        <f>ROUND('Lighting RD'!F106,2)</f>
        <v>0.27</v>
      </c>
      <c r="E107" s="163" t="s">
        <v>71</v>
      </c>
    </row>
    <row r="108" spans="1:5" x14ac:dyDescent="0.2">
      <c r="A108" s="190">
        <f t="shared" si="3"/>
        <v>101</v>
      </c>
      <c r="B108" s="194" t="s">
        <v>149</v>
      </c>
      <c r="C108" s="195">
        <v>400</v>
      </c>
      <c r="D108" s="126">
        <f>ROUND('Lighting RD'!F107,2)</f>
        <v>0.42</v>
      </c>
      <c r="E108" s="163" t="s">
        <v>71</v>
      </c>
    </row>
    <row r="109" spans="1:5" x14ac:dyDescent="0.2">
      <c r="A109" s="190">
        <f t="shared" si="3"/>
        <v>102</v>
      </c>
      <c r="B109" s="201"/>
      <c r="C109" s="195"/>
      <c r="D109" s="126"/>
      <c r="E109" s="197"/>
    </row>
    <row r="110" spans="1:5" x14ac:dyDescent="0.2">
      <c r="A110" s="190">
        <f t="shared" si="3"/>
        <v>103</v>
      </c>
      <c r="B110" s="194" t="s">
        <v>150</v>
      </c>
      <c r="C110" s="195">
        <v>250</v>
      </c>
      <c r="D110" s="126">
        <f>ROUND('Lighting RD'!F109,2)</f>
        <v>0.27</v>
      </c>
      <c r="E110" s="163" t="s">
        <v>71</v>
      </c>
    </row>
    <row r="111" spans="1:5" x14ac:dyDescent="0.2">
      <c r="A111" s="190">
        <f t="shared" si="3"/>
        <v>104</v>
      </c>
      <c r="B111" s="201"/>
      <c r="C111" s="195"/>
      <c r="D111" s="126"/>
      <c r="E111" s="197"/>
    </row>
    <row r="112" spans="1:5" x14ac:dyDescent="0.2">
      <c r="A112" s="190">
        <f t="shared" si="3"/>
        <v>105</v>
      </c>
      <c r="B112" s="194" t="s">
        <v>151</v>
      </c>
      <c r="C112" s="193" t="s">
        <v>76</v>
      </c>
      <c r="D112" s="126">
        <f>ROUND('Lighting RD'!F111,2)</f>
        <v>0.02</v>
      </c>
      <c r="E112" s="163" t="s">
        <v>71</v>
      </c>
    </row>
    <row r="113" spans="1:5" x14ac:dyDescent="0.2">
      <c r="A113" s="190">
        <f t="shared" si="3"/>
        <v>106</v>
      </c>
      <c r="B113" s="194" t="s">
        <v>151</v>
      </c>
      <c r="C113" s="199" t="s">
        <v>78</v>
      </c>
      <c r="D113" s="126">
        <f>ROUND('Lighting RD'!F112,2)</f>
        <v>0.05</v>
      </c>
      <c r="E113" s="163" t="s">
        <v>71</v>
      </c>
    </row>
    <row r="114" spans="1:5" x14ac:dyDescent="0.2">
      <c r="A114" s="190">
        <f t="shared" si="3"/>
        <v>107</v>
      </c>
      <c r="B114" s="194" t="s">
        <v>151</v>
      </c>
      <c r="C114" s="195" t="s">
        <v>34</v>
      </c>
      <c r="D114" s="126">
        <f>ROUND('Lighting RD'!F113,2)</f>
        <v>0.08</v>
      </c>
      <c r="E114" s="163" t="s">
        <v>71</v>
      </c>
    </row>
    <row r="115" spans="1:5" x14ac:dyDescent="0.2">
      <c r="A115" s="190">
        <f t="shared" si="3"/>
        <v>108</v>
      </c>
      <c r="B115" s="194" t="s">
        <v>151</v>
      </c>
      <c r="C115" s="195" t="s">
        <v>35</v>
      </c>
      <c r="D115" s="126">
        <f>ROUND('Lighting RD'!F114,2)</f>
        <v>0.11</v>
      </c>
      <c r="E115" s="163" t="s">
        <v>71</v>
      </c>
    </row>
    <row r="116" spans="1:5" x14ac:dyDescent="0.2">
      <c r="A116" s="190">
        <f t="shared" si="3"/>
        <v>109</v>
      </c>
      <c r="B116" s="194" t="s">
        <v>151</v>
      </c>
      <c r="C116" s="195" t="s">
        <v>36</v>
      </c>
      <c r="D116" s="126">
        <f>ROUND('Lighting RD'!F115,2)</f>
        <v>0.14000000000000001</v>
      </c>
      <c r="E116" s="163" t="s">
        <v>71</v>
      </c>
    </row>
    <row r="117" spans="1:5" x14ac:dyDescent="0.2">
      <c r="A117" s="190">
        <f t="shared" si="3"/>
        <v>110</v>
      </c>
      <c r="B117" s="194" t="s">
        <v>151</v>
      </c>
      <c r="C117" s="195" t="s">
        <v>37</v>
      </c>
      <c r="D117" s="126">
        <f>ROUND('Lighting RD'!F116,2)</f>
        <v>0.18</v>
      </c>
      <c r="E117" s="163" t="s">
        <v>71</v>
      </c>
    </row>
    <row r="118" spans="1:5" x14ac:dyDescent="0.2">
      <c r="A118" s="190">
        <f t="shared" si="3"/>
        <v>111</v>
      </c>
      <c r="B118" s="194" t="s">
        <v>151</v>
      </c>
      <c r="C118" s="195" t="s">
        <v>38</v>
      </c>
      <c r="D118" s="126">
        <f>ROUND('Lighting RD'!F117,2)</f>
        <v>0.21</v>
      </c>
      <c r="E118" s="163" t="s">
        <v>71</v>
      </c>
    </row>
    <row r="119" spans="1:5" x14ac:dyDescent="0.2">
      <c r="A119" s="190">
        <f t="shared" si="3"/>
        <v>112</v>
      </c>
      <c r="B119" s="194" t="s">
        <v>151</v>
      </c>
      <c r="C119" s="195" t="s">
        <v>39</v>
      </c>
      <c r="D119" s="126">
        <f>ROUND('Lighting RD'!F118,2)</f>
        <v>0.24</v>
      </c>
      <c r="E119" s="163" t="s">
        <v>71</v>
      </c>
    </row>
    <row r="120" spans="1:5" x14ac:dyDescent="0.2">
      <c r="A120" s="190">
        <f t="shared" si="3"/>
        <v>113</v>
      </c>
      <c r="B120" s="194" t="s">
        <v>151</v>
      </c>
      <c r="C120" s="195" t="s">
        <v>40</v>
      </c>
      <c r="D120" s="126">
        <f>ROUND('Lighting RD'!F119,2)</f>
        <v>0.27</v>
      </c>
      <c r="E120" s="163" t="s">
        <v>71</v>
      </c>
    </row>
    <row r="121" spans="1:5" x14ac:dyDescent="0.2">
      <c r="A121" s="190">
        <f t="shared" si="3"/>
        <v>114</v>
      </c>
      <c r="B121" s="194" t="s">
        <v>151</v>
      </c>
      <c r="C121" s="195" t="s">
        <v>41</v>
      </c>
      <c r="D121" s="126">
        <f>ROUND('Lighting RD'!F120,2)</f>
        <v>0.3</v>
      </c>
      <c r="E121" s="163" t="s">
        <v>71</v>
      </c>
    </row>
    <row r="122" spans="1:5" x14ac:dyDescent="0.2">
      <c r="A122" s="190">
        <f t="shared" si="3"/>
        <v>115</v>
      </c>
      <c r="B122" s="201"/>
      <c r="C122" s="195"/>
      <c r="D122" s="126"/>
      <c r="E122" s="197"/>
    </row>
    <row r="123" spans="1:5" ht="13.5" x14ac:dyDescent="0.35">
      <c r="A123" s="190">
        <f t="shared" si="3"/>
        <v>116</v>
      </c>
      <c r="B123" s="191" t="s">
        <v>57</v>
      </c>
      <c r="C123" s="195"/>
      <c r="D123" s="126"/>
      <c r="E123" s="197"/>
    </row>
    <row r="124" spans="1:5" x14ac:dyDescent="0.2">
      <c r="A124" s="190">
        <f t="shared" si="3"/>
        <v>117</v>
      </c>
      <c r="B124" s="194" t="s">
        <v>58</v>
      </c>
      <c r="C124" s="195" t="s">
        <v>196</v>
      </c>
      <c r="D124" s="202">
        <f>ROUND('Lighting RD'!F123,5)</f>
        <v>1.99E-3</v>
      </c>
      <c r="E124" s="163" t="s">
        <v>71</v>
      </c>
    </row>
    <row r="125" spans="1:5" x14ac:dyDescent="0.2">
      <c r="A125" s="190">
        <f t="shared" si="3"/>
        <v>118</v>
      </c>
      <c r="B125" s="201"/>
      <c r="C125" s="195"/>
      <c r="D125" s="126"/>
      <c r="E125" s="197"/>
    </row>
    <row r="126" spans="1:5" ht="13.5" x14ac:dyDescent="0.35">
      <c r="A126" s="190">
        <f t="shared" si="3"/>
        <v>119</v>
      </c>
      <c r="B126" s="191" t="s">
        <v>47</v>
      </c>
      <c r="C126" s="195"/>
      <c r="D126" s="126"/>
      <c r="E126" s="197"/>
    </row>
    <row r="127" spans="1:5" x14ac:dyDescent="0.2">
      <c r="A127" s="190">
        <f t="shared" si="3"/>
        <v>120</v>
      </c>
      <c r="B127" s="194" t="s">
        <v>153</v>
      </c>
      <c r="C127" s="195">
        <v>70</v>
      </c>
      <c r="D127" s="126">
        <f>ROUND('Lighting RD'!F126,2)</f>
        <v>7.0000000000000007E-2</v>
      </c>
      <c r="E127" s="163" t="s">
        <v>72</v>
      </c>
    </row>
    <row r="128" spans="1:5" x14ac:dyDescent="0.2">
      <c r="A128" s="190">
        <f t="shared" si="3"/>
        <v>121</v>
      </c>
      <c r="B128" s="194" t="s">
        <v>153</v>
      </c>
      <c r="C128" s="195">
        <v>100</v>
      </c>
      <c r="D128" s="126">
        <f>ROUND('Lighting RD'!F127,2)</f>
        <v>0.11</v>
      </c>
      <c r="E128" s="163" t="s">
        <v>72</v>
      </c>
    </row>
    <row r="129" spans="1:5" x14ac:dyDescent="0.2">
      <c r="A129" s="190">
        <f t="shared" si="3"/>
        <v>122</v>
      </c>
      <c r="B129" s="194" t="s">
        <v>153</v>
      </c>
      <c r="C129" s="195">
        <v>150</v>
      </c>
      <c r="D129" s="126">
        <f>ROUND('Lighting RD'!F128,2)</f>
        <v>0.16</v>
      </c>
      <c r="E129" s="163" t="s">
        <v>72</v>
      </c>
    </row>
    <row r="130" spans="1:5" x14ac:dyDescent="0.2">
      <c r="A130" s="190">
        <f t="shared" si="3"/>
        <v>123</v>
      </c>
      <c r="B130" s="194" t="s">
        <v>153</v>
      </c>
      <c r="C130" s="195">
        <v>200</v>
      </c>
      <c r="D130" s="126">
        <f>ROUND('Lighting RD'!F129,2)</f>
        <v>0.21</v>
      </c>
      <c r="E130" s="163" t="s">
        <v>72</v>
      </c>
    </row>
    <row r="131" spans="1:5" x14ac:dyDescent="0.2">
      <c r="A131" s="190">
        <f t="shared" si="3"/>
        <v>124</v>
      </c>
      <c r="B131" s="194" t="s">
        <v>153</v>
      </c>
      <c r="C131" s="195">
        <v>250</v>
      </c>
      <c r="D131" s="126">
        <f>ROUND('Lighting RD'!F130,2)</f>
        <v>0.27</v>
      </c>
      <c r="E131" s="163" t="s">
        <v>72</v>
      </c>
    </row>
    <row r="132" spans="1:5" x14ac:dyDescent="0.2">
      <c r="A132" s="190">
        <f t="shared" si="3"/>
        <v>125</v>
      </c>
      <c r="B132" s="194" t="s">
        <v>153</v>
      </c>
      <c r="C132" s="195">
        <v>400</v>
      </c>
      <c r="D132" s="126">
        <f>ROUND('Lighting RD'!F131,2)</f>
        <v>0.42</v>
      </c>
      <c r="E132" s="163" t="s">
        <v>72</v>
      </c>
    </row>
    <row r="133" spans="1:5" x14ac:dyDescent="0.2">
      <c r="A133" s="190">
        <f t="shared" si="3"/>
        <v>126</v>
      </c>
      <c r="B133" s="201"/>
      <c r="C133" s="195"/>
      <c r="D133" s="126"/>
      <c r="E133" s="197"/>
    </row>
    <row r="134" spans="1:5" x14ac:dyDescent="0.2">
      <c r="A134" s="190">
        <f t="shared" si="3"/>
        <v>127</v>
      </c>
      <c r="B134" s="194" t="s">
        <v>155</v>
      </c>
      <c r="C134" s="195">
        <v>100</v>
      </c>
      <c r="D134" s="126">
        <f>ROUND('Lighting RD'!F133,2)</f>
        <v>0.11</v>
      </c>
      <c r="E134" s="163" t="s">
        <v>72</v>
      </c>
    </row>
    <row r="135" spans="1:5" x14ac:dyDescent="0.2">
      <c r="A135" s="190">
        <f t="shared" si="3"/>
        <v>128</v>
      </c>
      <c r="B135" s="194" t="s">
        <v>155</v>
      </c>
      <c r="C135" s="195">
        <v>150</v>
      </c>
      <c r="D135" s="126">
        <f>ROUND('Lighting RD'!F134,2)</f>
        <v>0.16</v>
      </c>
      <c r="E135" s="163" t="s">
        <v>72</v>
      </c>
    </row>
    <row r="136" spans="1:5" x14ac:dyDescent="0.2">
      <c r="A136" s="190">
        <f t="shared" si="3"/>
        <v>129</v>
      </c>
      <c r="B136" s="194" t="s">
        <v>155</v>
      </c>
      <c r="C136" s="195">
        <v>200</v>
      </c>
      <c r="D136" s="126">
        <f>ROUND('Lighting RD'!F135,2)</f>
        <v>0.21</v>
      </c>
      <c r="E136" s="163" t="s">
        <v>72</v>
      </c>
    </row>
    <row r="137" spans="1:5" x14ac:dyDescent="0.2">
      <c r="A137" s="190">
        <f t="shared" ref="A137:A163" si="4">A136+1</f>
        <v>130</v>
      </c>
      <c r="B137" s="194" t="s">
        <v>155</v>
      </c>
      <c r="C137" s="195">
        <v>250</v>
      </c>
      <c r="D137" s="126">
        <f>ROUND('Lighting RD'!F136,2)</f>
        <v>0.27</v>
      </c>
      <c r="E137" s="163" t="s">
        <v>72</v>
      </c>
    </row>
    <row r="138" spans="1:5" x14ac:dyDescent="0.2">
      <c r="A138" s="190">
        <f t="shared" si="4"/>
        <v>131</v>
      </c>
      <c r="B138" s="194" t="s">
        <v>155</v>
      </c>
      <c r="C138" s="195">
        <v>400</v>
      </c>
      <c r="D138" s="126">
        <f>ROUND('Lighting RD'!F137,2)</f>
        <v>0.42</v>
      </c>
      <c r="E138" s="163" t="s">
        <v>72</v>
      </c>
    </row>
    <row r="139" spans="1:5" x14ac:dyDescent="0.2">
      <c r="A139" s="190">
        <f t="shared" si="4"/>
        <v>132</v>
      </c>
      <c r="B139" s="201"/>
      <c r="C139" s="195"/>
      <c r="D139" s="126"/>
      <c r="E139" s="197"/>
    </row>
    <row r="140" spans="1:5" x14ac:dyDescent="0.2">
      <c r="A140" s="190">
        <f t="shared" si="4"/>
        <v>133</v>
      </c>
      <c r="B140" s="194" t="s">
        <v>154</v>
      </c>
      <c r="C140" s="195">
        <v>175</v>
      </c>
      <c r="D140" s="126">
        <f>ROUND('Lighting RD'!F139,2)</f>
        <v>0.19</v>
      </c>
      <c r="E140" s="163" t="s">
        <v>72</v>
      </c>
    </row>
    <row r="141" spans="1:5" x14ac:dyDescent="0.2">
      <c r="A141" s="190">
        <f t="shared" si="4"/>
        <v>134</v>
      </c>
      <c r="B141" s="194" t="s">
        <v>154</v>
      </c>
      <c r="C141" s="195">
        <v>250</v>
      </c>
      <c r="D141" s="126">
        <f>ROUND('Lighting RD'!F140,2)</f>
        <v>0.27</v>
      </c>
      <c r="E141" s="163" t="s">
        <v>72</v>
      </c>
    </row>
    <row r="142" spans="1:5" x14ac:dyDescent="0.2">
      <c r="A142" s="190">
        <f t="shared" si="4"/>
        <v>135</v>
      </c>
      <c r="B142" s="194" t="s">
        <v>154</v>
      </c>
      <c r="C142" s="195">
        <v>400</v>
      </c>
      <c r="D142" s="126">
        <f>ROUND('Lighting RD'!F141,2)</f>
        <v>0.42</v>
      </c>
      <c r="E142" s="163" t="s">
        <v>72</v>
      </c>
    </row>
    <row r="143" spans="1:5" x14ac:dyDescent="0.2">
      <c r="A143" s="190">
        <f t="shared" si="4"/>
        <v>136</v>
      </c>
      <c r="B143" s="194" t="s">
        <v>154</v>
      </c>
      <c r="C143" s="195">
        <v>1000</v>
      </c>
      <c r="D143" s="126">
        <f>ROUND('Lighting RD'!F142,2)</f>
        <v>1.06</v>
      </c>
      <c r="E143" s="163" t="s">
        <v>72</v>
      </c>
    </row>
    <row r="144" spans="1:5" x14ac:dyDescent="0.2">
      <c r="A144" s="190">
        <f t="shared" si="4"/>
        <v>137</v>
      </c>
      <c r="B144" s="201"/>
      <c r="C144" s="195"/>
      <c r="D144" s="126"/>
      <c r="E144" s="197"/>
    </row>
    <row r="145" spans="1:5" x14ac:dyDescent="0.2">
      <c r="A145" s="190">
        <f t="shared" si="4"/>
        <v>138</v>
      </c>
      <c r="B145" s="194" t="s">
        <v>156</v>
      </c>
      <c r="C145" s="195">
        <v>250</v>
      </c>
      <c r="D145" s="126">
        <f>ROUND('Lighting RD'!F144,2)</f>
        <v>0.27</v>
      </c>
      <c r="E145" s="163" t="s">
        <v>72</v>
      </c>
    </row>
    <row r="146" spans="1:5" x14ac:dyDescent="0.2">
      <c r="A146" s="190">
        <f t="shared" si="4"/>
        <v>139</v>
      </c>
      <c r="B146" s="194" t="s">
        <v>156</v>
      </c>
      <c r="C146" s="195">
        <v>400</v>
      </c>
      <c r="D146" s="126">
        <f>ROUND('Lighting RD'!F145,2)</f>
        <v>0.42</v>
      </c>
      <c r="E146" s="163" t="s">
        <v>72</v>
      </c>
    </row>
    <row r="147" spans="1:5" x14ac:dyDescent="0.2">
      <c r="A147" s="190">
        <f t="shared" si="4"/>
        <v>140</v>
      </c>
      <c r="B147" s="201"/>
      <c r="C147" s="195"/>
      <c r="D147" s="126"/>
      <c r="E147" s="197"/>
    </row>
    <row r="148" spans="1:5" x14ac:dyDescent="0.2">
      <c r="A148" s="190">
        <f t="shared" si="4"/>
        <v>141</v>
      </c>
      <c r="B148" s="194" t="s">
        <v>152</v>
      </c>
      <c r="C148" s="193" t="s">
        <v>76</v>
      </c>
      <c r="D148" s="126">
        <f>ROUND('Lighting RD'!F147,2)</f>
        <v>0.02</v>
      </c>
      <c r="E148" s="163" t="s">
        <v>73</v>
      </c>
    </row>
    <row r="149" spans="1:5" x14ac:dyDescent="0.2">
      <c r="A149" s="190">
        <f t="shared" si="4"/>
        <v>142</v>
      </c>
      <c r="B149" s="194" t="s">
        <v>152</v>
      </c>
      <c r="C149" s="199" t="s">
        <v>64</v>
      </c>
      <c r="D149" s="126">
        <f>ROUND('Lighting RD'!F148,2)</f>
        <v>0.05</v>
      </c>
      <c r="E149" s="163" t="s">
        <v>73</v>
      </c>
    </row>
    <row r="150" spans="1:5" x14ac:dyDescent="0.2">
      <c r="A150" s="190">
        <f t="shared" si="4"/>
        <v>143</v>
      </c>
      <c r="B150" s="194" t="s">
        <v>152</v>
      </c>
      <c r="C150" s="195" t="s">
        <v>34</v>
      </c>
      <c r="D150" s="126">
        <f>ROUND('Lighting RD'!F149,2)</f>
        <v>0.08</v>
      </c>
      <c r="E150" s="163" t="s">
        <v>73</v>
      </c>
    </row>
    <row r="151" spans="1:5" x14ac:dyDescent="0.2">
      <c r="A151" s="190">
        <f t="shared" si="4"/>
        <v>144</v>
      </c>
      <c r="B151" s="194" t="s">
        <v>152</v>
      </c>
      <c r="C151" s="195" t="s">
        <v>35</v>
      </c>
      <c r="D151" s="126">
        <f>ROUND('Lighting RD'!F150,2)</f>
        <v>0.11</v>
      </c>
      <c r="E151" s="163" t="s">
        <v>73</v>
      </c>
    </row>
    <row r="152" spans="1:5" x14ac:dyDescent="0.2">
      <c r="A152" s="190">
        <f t="shared" si="4"/>
        <v>145</v>
      </c>
      <c r="B152" s="194" t="s">
        <v>152</v>
      </c>
      <c r="C152" s="195" t="s">
        <v>36</v>
      </c>
      <c r="D152" s="126">
        <f>ROUND('Lighting RD'!F151,2)</f>
        <v>0.14000000000000001</v>
      </c>
      <c r="E152" s="163" t="s">
        <v>73</v>
      </c>
    </row>
    <row r="153" spans="1:5" x14ac:dyDescent="0.2">
      <c r="A153" s="190">
        <f t="shared" si="4"/>
        <v>146</v>
      </c>
      <c r="B153" s="194" t="s">
        <v>152</v>
      </c>
      <c r="C153" s="195" t="s">
        <v>37</v>
      </c>
      <c r="D153" s="126">
        <f>ROUND('Lighting RD'!F152,2)</f>
        <v>0.18</v>
      </c>
      <c r="E153" s="163" t="s">
        <v>73</v>
      </c>
    </row>
    <row r="154" spans="1:5" x14ac:dyDescent="0.2">
      <c r="A154" s="190">
        <f t="shared" si="4"/>
        <v>147</v>
      </c>
      <c r="B154" s="194" t="s">
        <v>152</v>
      </c>
      <c r="C154" s="195" t="s">
        <v>38</v>
      </c>
      <c r="D154" s="126">
        <f>ROUND('Lighting RD'!F153,2)</f>
        <v>0.21</v>
      </c>
      <c r="E154" s="163" t="s">
        <v>73</v>
      </c>
    </row>
    <row r="155" spans="1:5" x14ac:dyDescent="0.2">
      <c r="A155" s="190">
        <f t="shared" si="4"/>
        <v>148</v>
      </c>
      <c r="B155" s="194" t="s">
        <v>152</v>
      </c>
      <c r="C155" s="195" t="s">
        <v>39</v>
      </c>
      <c r="D155" s="126">
        <f>ROUND('Lighting RD'!F154,2)</f>
        <v>0.24</v>
      </c>
      <c r="E155" s="163" t="s">
        <v>73</v>
      </c>
    </row>
    <row r="156" spans="1:5" x14ac:dyDescent="0.2">
      <c r="A156" s="190">
        <f t="shared" si="4"/>
        <v>149</v>
      </c>
      <c r="B156" s="194" t="s">
        <v>152</v>
      </c>
      <c r="C156" s="195" t="s">
        <v>40</v>
      </c>
      <c r="D156" s="126">
        <f>ROUND('Lighting RD'!F155,2)</f>
        <v>0.27</v>
      </c>
      <c r="E156" s="163" t="s">
        <v>73</v>
      </c>
    </row>
    <row r="157" spans="1:5" x14ac:dyDescent="0.2">
      <c r="A157" s="190">
        <f t="shared" si="4"/>
        <v>150</v>
      </c>
      <c r="B157" s="194" t="s">
        <v>152</v>
      </c>
      <c r="C157" s="195" t="s">
        <v>41</v>
      </c>
      <c r="D157" s="126">
        <f>ROUND('Lighting RD'!F156,2)</f>
        <v>0.3</v>
      </c>
      <c r="E157" s="163" t="s">
        <v>73</v>
      </c>
    </row>
    <row r="158" spans="1:5" x14ac:dyDescent="0.2">
      <c r="A158" s="190">
        <f t="shared" si="4"/>
        <v>151</v>
      </c>
      <c r="B158" s="194" t="s">
        <v>152</v>
      </c>
      <c r="C158" s="195" t="s">
        <v>51</v>
      </c>
      <c r="D158" s="126">
        <f>ROUND('Lighting RD'!F157,2)</f>
        <v>0.37</v>
      </c>
      <c r="E158" s="163" t="s">
        <v>73</v>
      </c>
    </row>
    <row r="159" spans="1:5" x14ac:dyDescent="0.2">
      <c r="A159" s="190">
        <f t="shared" si="4"/>
        <v>152</v>
      </c>
      <c r="B159" s="194" t="s">
        <v>152</v>
      </c>
      <c r="C159" s="195" t="s">
        <v>52</v>
      </c>
      <c r="D159" s="126">
        <f>ROUND('Lighting RD'!F158,2)</f>
        <v>0.48</v>
      </c>
      <c r="E159" s="163" t="s">
        <v>73</v>
      </c>
    </row>
    <row r="160" spans="1:5" x14ac:dyDescent="0.2">
      <c r="A160" s="190">
        <f t="shared" si="4"/>
        <v>153</v>
      </c>
      <c r="B160" s="194" t="s">
        <v>152</v>
      </c>
      <c r="C160" s="195" t="s">
        <v>53</v>
      </c>
      <c r="D160" s="126">
        <f>ROUND('Lighting RD'!F159,2)</f>
        <v>0.57999999999999996</v>
      </c>
      <c r="E160" s="163" t="s">
        <v>73</v>
      </c>
    </row>
    <row r="161" spans="1:5" x14ac:dyDescent="0.2">
      <c r="A161" s="190">
        <f t="shared" si="4"/>
        <v>154</v>
      </c>
      <c r="B161" s="194" t="s">
        <v>152</v>
      </c>
      <c r="C161" s="195" t="s">
        <v>54</v>
      </c>
      <c r="D161" s="126">
        <f>ROUND('Lighting RD'!F160,2)</f>
        <v>0.69</v>
      </c>
      <c r="E161" s="163" t="s">
        <v>73</v>
      </c>
    </row>
    <row r="162" spans="1:5" x14ac:dyDescent="0.2">
      <c r="A162" s="190">
        <f t="shared" si="4"/>
        <v>155</v>
      </c>
      <c r="B162" s="194" t="s">
        <v>152</v>
      </c>
      <c r="C162" s="195" t="s">
        <v>55</v>
      </c>
      <c r="D162" s="126">
        <f>ROUND('Lighting RD'!F161,2)</f>
        <v>0.8</v>
      </c>
      <c r="E162" s="163" t="s">
        <v>73</v>
      </c>
    </row>
    <row r="163" spans="1:5" x14ac:dyDescent="0.2">
      <c r="A163" s="190">
        <f t="shared" si="4"/>
        <v>156</v>
      </c>
      <c r="B163" s="194" t="s">
        <v>152</v>
      </c>
      <c r="C163" s="195" t="s">
        <v>56</v>
      </c>
      <c r="D163" s="126">
        <f>ROUND('Lighting RD'!F162,2)</f>
        <v>0.9</v>
      </c>
      <c r="E163" s="163" t="s">
        <v>73</v>
      </c>
    </row>
  </sheetData>
  <pageMargins left="0.7" right="0.7" top="0.75" bottom="0.75" header="0.3" footer="0.3"/>
  <pageSetup orientation="portrait" r:id="rId1"/>
  <headerFooter>
    <oddHeader>&amp;RElectric Schedule 120 Rate Design Workpapers
Page &amp;P of &amp;N</oddHeader>
    <oddFooter>&amp;L&amp;F
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79998168889431442"/>
    <pageSetUpPr fitToPage="1"/>
  </sheetPr>
  <dimension ref="A1:P198"/>
  <sheetViews>
    <sheetView zoomScaleNormal="100" zoomScaleSheetLayoutView="100" workbookViewId="0"/>
  </sheetViews>
  <sheetFormatPr defaultColWidth="9.140625" defaultRowHeight="11.25" x14ac:dyDescent="0.2"/>
  <cols>
    <col min="1" max="1" width="6.7109375" style="6" bestFit="1" customWidth="1"/>
    <col min="2" max="2" width="28.42578125" style="6" bestFit="1" customWidth="1"/>
    <col min="3" max="3" width="6.28515625" style="6" customWidth="1"/>
    <col min="4" max="4" width="7.7109375" style="3" customWidth="1"/>
    <col min="5" max="5" width="7.7109375" style="2" customWidth="1"/>
    <col min="6" max="6" width="8.28515625" style="2" customWidth="1"/>
    <col min="7" max="7" width="14" style="2" customWidth="1"/>
    <col min="8" max="8" width="4.28515625" style="2" customWidth="1"/>
    <col min="9" max="9" width="5.28515625" style="6" bestFit="1" customWidth="1"/>
    <col min="10" max="10" width="9.42578125" style="6" customWidth="1"/>
    <col min="11" max="11" width="7.5703125" style="2" customWidth="1"/>
    <col min="12" max="12" width="8.42578125" style="2" customWidth="1"/>
    <col min="13" max="13" width="16.7109375" style="2" customWidth="1"/>
    <col min="14" max="14" width="10" style="6" customWidth="1"/>
    <col min="15" max="15" width="6.5703125" style="6" customWidth="1"/>
    <col min="16" max="16384" width="9.140625" style="6"/>
  </cols>
  <sheetData>
    <row r="1" spans="1:16" s="21" customFormat="1" x14ac:dyDescent="0.2">
      <c r="A1" s="203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s="21" customFormat="1" x14ac:dyDescent="0.2">
      <c r="A2" s="203" t="s">
        <v>115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s="21" customFormat="1" x14ac:dyDescent="0.2">
      <c r="A3" s="71" t="str">
        <f>Inputs!B2&amp;" Forecasted Rate-Year Ended "&amp;TEXT(Inputs!B4,"mmmm d, yyyy")</f>
        <v>F2023 Forecasted Rate-Year Ended April 30, 2025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204"/>
    </row>
    <row r="4" spans="1:16" s="21" customFormat="1" x14ac:dyDescent="0.2">
      <c r="A4" s="71" t="str">
        <f>"Proposed Rate Effective "&amp;TEXT(Inputs!B1,"mmmm d, yyyy")</f>
        <v>Proposed Rate Effective May 1, 2024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204"/>
    </row>
    <row r="5" spans="1:16" s="21" customFormat="1" x14ac:dyDescent="0.2">
      <c r="A5" s="203" t="s">
        <v>177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6" s="21" customFormat="1" x14ac:dyDescent="0.2">
      <c r="A6" s="51" t="s">
        <v>101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204"/>
    </row>
    <row r="7" spans="1:16" s="22" customFormat="1" ht="56.25" x14ac:dyDescent="0.2">
      <c r="A7" s="11" t="s">
        <v>23</v>
      </c>
      <c r="B7" s="11" t="s">
        <v>12</v>
      </c>
      <c r="C7" s="205" t="s">
        <v>14</v>
      </c>
      <c r="D7" s="88"/>
      <c r="E7" s="88"/>
      <c r="F7" s="88"/>
      <c r="G7" s="206" t="str">
        <f>Inputs!B2&amp;" Forecasted Rate-Year Energy (kWh)"</f>
        <v>F2023 Forecasted Rate-Year Energy (kWh)</v>
      </c>
      <c r="H7" s="207" t="s">
        <v>158</v>
      </c>
      <c r="I7" s="88"/>
      <c r="J7" s="208" t="s">
        <v>159</v>
      </c>
      <c r="K7" s="209" t="s">
        <v>98</v>
      </c>
      <c r="L7" s="209"/>
      <c r="M7" s="206" t="s">
        <v>99</v>
      </c>
      <c r="N7" s="207" t="s">
        <v>100</v>
      </c>
      <c r="O7" s="207"/>
      <c r="P7" s="204"/>
    </row>
    <row r="8" spans="1:16" s="18" customFormat="1" x14ac:dyDescent="0.2">
      <c r="A8" s="53"/>
      <c r="B8" s="53"/>
      <c r="C8" s="89" t="s">
        <v>101</v>
      </c>
      <c r="D8" s="89"/>
      <c r="E8" s="89"/>
      <c r="F8" s="89"/>
      <c r="G8" s="54" t="s">
        <v>18</v>
      </c>
      <c r="H8" s="89" t="s">
        <v>19</v>
      </c>
      <c r="I8" s="89"/>
      <c r="J8" s="53" t="s">
        <v>20</v>
      </c>
      <c r="K8" s="109" t="s">
        <v>21</v>
      </c>
      <c r="L8" s="109"/>
      <c r="M8" s="54" t="s">
        <v>174</v>
      </c>
      <c r="N8" s="53" t="s">
        <v>175</v>
      </c>
      <c r="O8" s="53" t="s">
        <v>176</v>
      </c>
      <c r="P8" s="204"/>
    </row>
    <row r="9" spans="1:16" x14ac:dyDescent="0.2">
      <c r="A9" s="125">
        <v>1</v>
      </c>
      <c r="C9" s="69" t="s">
        <v>101</v>
      </c>
      <c r="D9" s="90"/>
      <c r="E9" s="69"/>
      <c r="F9" s="69"/>
      <c r="H9" s="104" t="s">
        <v>101</v>
      </c>
      <c r="I9" s="104"/>
      <c r="K9" s="105" t="s">
        <v>101</v>
      </c>
      <c r="L9" s="105"/>
      <c r="P9" s="204"/>
    </row>
    <row r="10" spans="1:16" x14ac:dyDescent="0.2">
      <c r="A10" s="84">
        <f t="shared" ref="A10:A38" si="0">A9+1</f>
        <v>2</v>
      </c>
      <c r="B10" s="55" t="s">
        <v>0</v>
      </c>
      <c r="C10" s="69" t="s">
        <v>161</v>
      </c>
      <c r="D10" s="90"/>
      <c r="E10" s="69"/>
      <c r="F10" s="69"/>
      <c r="G10" s="210">
        <f>'Rate Spread &amp; Design'!F10</f>
        <v>11203510559.836071</v>
      </c>
      <c r="H10" s="211">
        <f>'[1]Effective Rate by Schedule'!$CQ$7</f>
        <v>5.0439999999999999E-3</v>
      </c>
      <c r="I10" s="211"/>
      <c r="J10" s="212">
        <f>ROUND(+'Rate Spread &amp; Design'!$G$10,6)</f>
        <v>6.0949999999999997E-3</v>
      </c>
      <c r="K10" s="213">
        <f>'[3]Rate Impacts'!$H$11</f>
        <v>1558248424.9742928</v>
      </c>
      <c r="L10" s="213"/>
      <c r="M10" s="214">
        <f>K10+G10*(J10-H10)</f>
        <v>1570023314.5726805</v>
      </c>
      <c r="N10" s="214">
        <f>+M10-K10</f>
        <v>11774889.598387718</v>
      </c>
      <c r="O10" s="215">
        <f>IF(K10=0,"n/a",+N10/K10)</f>
        <v>7.5564906145064612E-3</v>
      </c>
      <c r="P10" s="204"/>
    </row>
    <row r="11" spans="1:16" x14ac:dyDescent="0.2">
      <c r="A11" s="84">
        <f t="shared" si="0"/>
        <v>3</v>
      </c>
      <c r="B11" s="5"/>
      <c r="C11" s="69" t="s">
        <v>101</v>
      </c>
      <c r="D11" s="90"/>
      <c r="E11" s="69"/>
      <c r="F11" s="69"/>
      <c r="G11" s="216"/>
      <c r="H11" s="116" t="s">
        <v>101</v>
      </c>
      <c r="I11" s="116"/>
      <c r="J11" s="44"/>
      <c r="K11" s="105" t="s">
        <v>101</v>
      </c>
      <c r="L11" s="105"/>
      <c r="M11" s="4"/>
      <c r="N11" s="4"/>
      <c r="O11" s="52"/>
      <c r="P11" s="204"/>
    </row>
    <row r="12" spans="1:16" x14ac:dyDescent="0.2">
      <c r="A12" s="84">
        <f t="shared" si="0"/>
        <v>4</v>
      </c>
      <c r="B12" s="7" t="s">
        <v>84</v>
      </c>
      <c r="C12" s="69" t="s">
        <v>101</v>
      </c>
      <c r="D12" s="90"/>
      <c r="E12" s="69"/>
      <c r="F12" s="69"/>
      <c r="G12" s="216"/>
      <c r="H12" s="116" t="s">
        <v>101</v>
      </c>
      <c r="I12" s="116"/>
      <c r="J12" s="44"/>
      <c r="K12" s="105" t="s">
        <v>101</v>
      </c>
      <c r="L12" s="105"/>
      <c r="M12" s="4"/>
      <c r="N12" s="4"/>
      <c r="O12" s="52"/>
      <c r="P12" s="204"/>
    </row>
    <row r="13" spans="1:16" x14ac:dyDescent="0.2">
      <c r="A13" s="84">
        <f t="shared" si="0"/>
        <v>5</v>
      </c>
      <c r="B13" s="10" t="s">
        <v>85</v>
      </c>
      <c r="C13" s="69" t="s">
        <v>108</v>
      </c>
      <c r="D13" s="90"/>
      <c r="E13" s="69"/>
      <c r="F13" s="69"/>
      <c r="G13" s="216">
        <f>'Rate Spread &amp; Design'!F12</f>
        <v>2760323642.6246891</v>
      </c>
      <c r="H13" s="116">
        <f>'[1]Effective Rate by Schedule'!CQ9</f>
        <v>4.2760000000000003E-3</v>
      </c>
      <c r="I13" s="116"/>
      <c r="J13" s="44">
        <f>ROUND(+'Rate Spread &amp; Design'!$G$12,6)</f>
        <v>5.352E-3</v>
      </c>
      <c r="K13" s="217">
        <f>'[3]Rate Impacts'!$H$14</f>
        <v>371358282.71703464</v>
      </c>
      <c r="L13" s="217"/>
      <c r="M13" s="4">
        <f>K13+G13*(J13-H13)</f>
        <v>374328390.9564988</v>
      </c>
      <c r="N13" s="4">
        <f>+M13-K13</f>
        <v>2970108.2394641638</v>
      </c>
      <c r="O13" s="52">
        <f>IF(K13=0,"n/a",+N13/K13)</f>
        <v>7.997958784528603E-3</v>
      </c>
      <c r="P13" s="204"/>
    </row>
    <row r="14" spans="1:16" x14ac:dyDescent="0.2">
      <c r="A14" s="84">
        <f t="shared" si="0"/>
        <v>6</v>
      </c>
      <c r="B14" s="10" t="s">
        <v>86</v>
      </c>
      <c r="C14" s="69" t="s">
        <v>87</v>
      </c>
      <c r="D14" s="90"/>
      <c r="E14" s="69"/>
      <c r="F14" s="69"/>
      <c r="G14" s="216">
        <f>'Rate Spread &amp; Design'!F13</f>
        <v>2959045827.7728415</v>
      </c>
      <c r="H14" s="116">
        <f>'[1]Effective Rate by Schedule'!CQ10</f>
        <v>4.3480000000000003E-3</v>
      </c>
      <c r="I14" s="116"/>
      <c r="J14" s="44">
        <f>ROUND(+'Rate Spread &amp; Design'!$G$13,6)</f>
        <v>5.365E-3</v>
      </c>
      <c r="K14" s="217">
        <f>SUM('[3]Rate Impacts'!$H$15:$H$16)</f>
        <v>390500905.10427451</v>
      </c>
      <c r="L14" s="217"/>
      <c r="M14" s="4">
        <f>K14+G14*(J14-H14)</f>
        <v>393510254.71111947</v>
      </c>
      <c r="N14" s="4">
        <f>+M14-K14</f>
        <v>3009349.6068449616</v>
      </c>
      <c r="O14" s="52">
        <f>IF(K14=0,"n/a",+N14/K14)</f>
        <v>7.7063831799349669E-3</v>
      </c>
      <c r="P14" s="204"/>
    </row>
    <row r="15" spans="1:16" x14ac:dyDescent="0.2">
      <c r="A15" s="84">
        <f t="shared" si="0"/>
        <v>7</v>
      </c>
      <c r="B15" s="10" t="s">
        <v>88</v>
      </c>
      <c r="C15" s="69" t="s">
        <v>97</v>
      </c>
      <c r="D15" s="90"/>
      <c r="E15" s="69"/>
      <c r="F15" s="69"/>
      <c r="G15" s="216">
        <f>'Rate Spread &amp; Design'!F14</f>
        <v>1976059702.4320197</v>
      </c>
      <c r="H15" s="116">
        <f>'[1]Effective Rate by Schedule'!CQ11</f>
        <v>3.9809999999999993E-3</v>
      </c>
      <c r="I15" s="116"/>
      <c r="J15" s="44">
        <f>ROUND(+'Rate Spread &amp; Design'!$G$14,6)</f>
        <v>4.6410000000000002E-3</v>
      </c>
      <c r="K15" s="217">
        <f>'[3]Rate Impacts'!$H$17</f>
        <v>237477248.70210776</v>
      </c>
      <c r="L15" s="217"/>
      <c r="M15" s="4">
        <f>K15+G15*(J15-H15)</f>
        <v>238781448.10571289</v>
      </c>
      <c r="N15" s="4">
        <f>+M15-K15</f>
        <v>1304199.4036051333</v>
      </c>
      <c r="O15" s="52">
        <f>IF(K15=0,"n/a",+N15/K15)</f>
        <v>5.4918920053732192E-3</v>
      </c>
      <c r="P15" s="204"/>
    </row>
    <row r="16" spans="1:16" x14ac:dyDescent="0.2">
      <c r="A16" s="84">
        <f t="shared" si="0"/>
        <v>8</v>
      </c>
      <c r="B16" s="56" t="s">
        <v>89</v>
      </c>
      <c r="C16" s="51">
        <v>29</v>
      </c>
      <c r="D16" s="90"/>
      <c r="E16" s="69"/>
      <c r="F16" s="69"/>
      <c r="G16" s="216">
        <f>'Rate Spread &amp; Design'!F15</f>
        <v>15030637.337107176</v>
      </c>
      <c r="H16" s="116">
        <f>'[1]Effective Rate by Schedule'!CQ12</f>
        <v>4.5299999999999993E-3</v>
      </c>
      <c r="I16" s="116"/>
      <c r="J16" s="44">
        <f>ROUND(+'Rate Spread &amp; Design'!$G$15,6)</f>
        <v>5.666E-3</v>
      </c>
      <c r="K16" s="217">
        <f>'[3]Rate Impacts'!$H$18</f>
        <v>1798525.9109019253</v>
      </c>
      <c r="L16" s="217"/>
      <c r="M16" s="4">
        <f>K16+G16*(J16-H16)</f>
        <v>1815600.7149168791</v>
      </c>
      <c r="N16" s="4">
        <f>+M16-K16</f>
        <v>17074.804014953785</v>
      </c>
      <c r="O16" s="52">
        <f>IF(K16=0,"n/a",+N16/K16)</f>
        <v>9.4937770490007047E-3</v>
      </c>
      <c r="P16" s="204"/>
    </row>
    <row r="17" spans="1:16" x14ac:dyDescent="0.2">
      <c r="A17" s="84">
        <f t="shared" si="0"/>
        <v>9</v>
      </c>
      <c r="B17" s="59" t="s">
        <v>24</v>
      </c>
      <c r="C17" s="69" t="s">
        <v>101</v>
      </c>
      <c r="D17" s="90"/>
      <c r="E17" s="69"/>
      <c r="F17" s="69"/>
      <c r="G17" s="218">
        <f>SUM(G13:G16)</f>
        <v>7710459810.1666565</v>
      </c>
      <c r="H17" s="219">
        <f>ROUND(SUMPRODUCT($G13:$G16,H13:H16)/$G17,6)</f>
        <v>4.2290000000000001E-3</v>
      </c>
      <c r="I17" s="220"/>
      <c r="J17" s="221">
        <f>ROUND(SUMPRODUCT($G13:$G16,J13:J16)/$G17,6)</f>
        <v>5.1749999999999999E-3</v>
      </c>
      <c r="K17" s="222">
        <f>SUM(K13:K16)</f>
        <v>1001134962.4343188</v>
      </c>
      <c r="L17" s="222"/>
      <c r="M17" s="214">
        <f>SUM(M13:M16)</f>
        <v>1008435694.488248</v>
      </c>
      <c r="N17" s="214">
        <f>SUM(N13:N16)</f>
        <v>7300732.0539292125</v>
      </c>
      <c r="O17" s="215">
        <f>IF(K17=0,"n/a",+N17/K17)</f>
        <v>7.2924553910064744E-3</v>
      </c>
      <c r="P17" s="204"/>
    </row>
    <row r="18" spans="1:16" x14ac:dyDescent="0.2">
      <c r="A18" s="84">
        <f t="shared" si="0"/>
        <v>10</v>
      </c>
      <c r="B18" s="5"/>
      <c r="C18" s="69" t="s">
        <v>101</v>
      </c>
      <c r="D18" s="90"/>
      <c r="E18" s="69"/>
      <c r="F18" s="69"/>
      <c r="H18" s="117" t="s">
        <v>101</v>
      </c>
      <c r="I18" s="117"/>
      <c r="J18" s="19"/>
      <c r="K18" s="105" t="s">
        <v>101</v>
      </c>
      <c r="L18" s="105"/>
      <c r="M18" s="4"/>
      <c r="N18" s="4"/>
      <c r="O18" s="52"/>
      <c r="P18" s="204"/>
    </row>
    <row r="19" spans="1:16" x14ac:dyDescent="0.2">
      <c r="A19" s="84">
        <f t="shared" si="0"/>
        <v>11</v>
      </c>
      <c r="B19" s="7" t="s">
        <v>90</v>
      </c>
      <c r="C19" s="69" t="s">
        <v>101</v>
      </c>
      <c r="D19" s="90"/>
      <c r="E19" s="69"/>
      <c r="F19" s="69"/>
      <c r="H19" s="117" t="s">
        <v>101</v>
      </c>
      <c r="I19" s="117"/>
      <c r="J19" s="19"/>
      <c r="K19" s="105" t="s">
        <v>101</v>
      </c>
      <c r="L19" s="105"/>
      <c r="M19" s="4"/>
      <c r="N19" s="4"/>
      <c r="O19" s="52"/>
      <c r="P19" s="204"/>
    </row>
    <row r="20" spans="1:16" x14ac:dyDescent="0.2">
      <c r="A20" s="84">
        <f t="shared" si="0"/>
        <v>12</v>
      </c>
      <c r="B20" s="10" t="s">
        <v>91</v>
      </c>
      <c r="C20" s="69" t="s">
        <v>92</v>
      </c>
      <c r="D20" s="90"/>
      <c r="E20" s="69"/>
      <c r="F20" s="69"/>
      <c r="G20" s="216">
        <f>'Rate Spread &amp; Design'!F17</f>
        <v>1414726531.7689974</v>
      </c>
      <c r="H20" s="116">
        <f>'[1]Effective Rate by Schedule'!CQ14</f>
        <v>3.8380000000000003E-3</v>
      </c>
      <c r="I20" s="116"/>
      <c r="J20" s="44">
        <f>ROUND(+'Rate Spread &amp; Design'!$G$17,6)</f>
        <v>4.5279999999999999E-3</v>
      </c>
      <c r="K20" s="217">
        <f>'[3]Rate Impacts'!$H$22</f>
        <v>164933196.06561378</v>
      </c>
      <c r="L20" s="217"/>
      <c r="M20" s="4">
        <f>K20+G20*(J20-H20)</f>
        <v>165909357.37253439</v>
      </c>
      <c r="N20" s="4">
        <f>+M20-K20</f>
        <v>976161.30692061782</v>
      </c>
      <c r="O20" s="52">
        <f>IF(K20=0,"n/a",+N20/K20)</f>
        <v>5.9185253800107104E-3</v>
      </c>
      <c r="P20" s="204"/>
    </row>
    <row r="21" spans="1:16" x14ac:dyDescent="0.2">
      <c r="A21" s="84">
        <f t="shared" si="0"/>
        <v>13</v>
      </c>
      <c r="B21" s="9" t="s">
        <v>89</v>
      </c>
      <c r="C21" s="51">
        <v>35</v>
      </c>
      <c r="D21" s="90"/>
      <c r="E21" s="51"/>
      <c r="F21" s="51"/>
      <c r="G21" s="216">
        <f>'Rate Spread &amp; Design'!F18</f>
        <v>4440266.6219169199</v>
      </c>
      <c r="H21" s="116">
        <f>'[1]Effective Rate by Schedule'!CQ15</f>
        <v>2.624E-3</v>
      </c>
      <c r="I21" s="116"/>
      <c r="J21" s="44">
        <f>ROUND(+'Rate Spread &amp; Design'!$G$18,6)</f>
        <v>3.4810000000000002E-3</v>
      </c>
      <c r="K21" s="217">
        <f>'[3]Rate Impacts'!$H$23</f>
        <v>426250.90523892164</v>
      </c>
      <c r="L21" s="217"/>
      <c r="M21" s="4">
        <f>K21+G21*(J21-H21)</f>
        <v>430056.21373390441</v>
      </c>
      <c r="N21" s="4">
        <f>+M21-K21</f>
        <v>3805.3084949827753</v>
      </c>
      <c r="O21" s="52">
        <f>IF(K21=0,"n/a",+N21/K21)</f>
        <v>8.9273909995565368E-3</v>
      </c>
      <c r="P21" s="204"/>
    </row>
    <row r="22" spans="1:16" x14ac:dyDescent="0.2">
      <c r="A22" s="84">
        <f t="shared" si="0"/>
        <v>14</v>
      </c>
      <c r="B22" s="56" t="s">
        <v>93</v>
      </c>
      <c r="C22" s="51">
        <v>43</v>
      </c>
      <c r="D22" s="90"/>
      <c r="E22" s="51"/>
      <c r="F22" s="51"/>
      <c r="G22" s="216">
        <f>'Rate Spread &amp; Design'!F19</f>
        <v>122744427.38210531</v>
      </c>
      <c r="H22" s="116">
        <f>'[1]Effective Rate by Schedule'!CQ16</f>
        <v>8.1499999999999997E-4</v>
      </c>
      <c r="I22" s="116"/>
      <c r="J22" s="44">
        <f>ROUND(+'Rate Spread &amp; Design'!$G$19,6)</f>
        <v>1.0089999999999999E-3</v>
      </c>
      <c r="K22" s="217">
        <f>'[3]Rate Impacts'!$H$24</f>
        <v>14580163.945268542</v>
      </c>
      <c r="L22" s="217"/>
      <c r="M22" s="4">
        <f>K22+G22*(J22-H22)</f>
        <v>14603976.364180669</v>
      </c>
      <c r="N22" s="4">
        <f>+M22-K22</f>
        <v>23812.418912127614</v>
      </c>
      <c r="O22" s="52">
        <f>IF(K22=0,"n/a",+N22/K22)</f>
        <v>1.6332065264502778E-3</v>
      </c>
      <c r="P22" s="204"/>
    </row>
    <row r="23" spans="1:16" x14ac:dyDescent="0.2">
      <c r="A23" s="84">
        <f t="shared" si="0"/>
        <v>15</v>
      </c>
      <c r="B23" s="57" t="s">
        <v>25</v>
      </c>
      <c r="C23" s="69" t="s">
        <v>101</v>
      </c>
      <c r="D23" s="90"/>
      <c r="E23" s="69"/>
      <c r="F23" s="69"/>
      <c r="G23" s="218">
        <f>SUM(G20:G22)</f>
        <v>1541911225.7730198</v>
      </c>
      <c r="H23" s="220">
        <f>ROUND(SUMPRODUCT($G20:$G22,H20:H22)/$G23,6)</f>
        <v>3.594E-3</v>
      </c>
      <c r="I23" s="220"/>
      <c r="J23" s="221">
        <f>ROUND(SUMPRODUCT($G20:$G22,J20:J22)/$G23,6)</f>
        <v>4.2449999999999996E-3</v>
      </c>
      <c r="K23" s="222">
        <f>SUM(K20:K22)</f>
        <v>179939610.91612124</v>
      </c>
      <c r="L23" s="222"/>
      <c r="M23" s="214">
        <f>SUM(M20:M22)</f>
        <v>180943389.95044899</v>
      </c>
      <c r="N23" s="214">
        <f>SUM(N20:N22)</f>
        <v>1003779.0343277282</v>
      </c>
      <c r="O23" s="215">
        <f>IF(K23=0,"n/a",+N23/K23)</f>
        <v>5.5784217228058769E-3</v>
      </c>
      <c r="P23" s="204"/>
    </row>
    <row r="24" spans="1:16" x14ac:dyDescent="0.2">
      <c r="A24" s="84">
        <f t="shared" si="0"/>
        <v>16</v>
      </c>
      <c r="C24" s="69" t="s">
        <v>101</v>
      </c>
      <c r="D24" s="90"/>
      <c r="E24" s="69"/>
      <c r="F24" s="69"/>
      <c r="G24" s="6"/>
      <c r="H24" s="104" t="s">
        <v>101</v>
      </c>
      <c r="I24" s="104"/>
      <c r="K24" s="105" t="s">
        <v>101</v>
      </c>
      <c r="L24" s="105"/>
      <c r="M24" s="6"/>
      <c r="P24" s="204"/>
    </row>
    <row r="25" spans="1:16" x14ac:dyDescent="0.2">
      <c r="A25" s="84">
        <f t="shared" si="0"/>
        <v>17</v>
      </c>
      <c r="B25" s="7" t="s">
        <v>13</v>
      </c>
      <c r="C25" s="69" t="s">
        <v>101</v>
      </c>
      <c r="D25" s="90"/>
      <c r="E25" s="69"/>
      <c r="F25" s="69"/>
      <c r="H25" s="117" t="s">
        <v>101</v>
      </c>
      <c r="I25" s="117"/>
      <c r="J25" s="19"/>
      <c r="K25" s="105" t="s">
        <v>101</v>
      </c>
      <c r="L25" s="105"/>
      <c r="M25" s="4"/>
      <c r="N25" s="4"/>
      <c r="O25" s="52"/>
      <c r="P25" s="204"/>
    </row>
    <row r="26" spans="1:16" x14ac:dyDescent="0.2">
      <c r="A26" s="84">
        <f t="shared" si="0"/>
        <v>18</v>
      </c>
      <c r="B26" s="10" t="s">
        <v>95</v>
      </c>
      <c r="C26" s="51">
        <v>46</v>
      </c>
      <c r="D26" s="90"/>
      <c r="E26" s="51"/>
      <c r="F26" s="51"/>
      <c r="G26" s="216">
        <f>'Rate Spread &amp; Design'!F21</f>
        <v>96942309.823676795</v>
      </c>
      <c r="H26" s="116">
        <f>'[1]Effective Rate by Schedule'!CQ18</f>
        <v>9.7300000000000012E-4</v>
      </c>
      <c r="I26" s="116"/>
      <c r="J26" s="44">
        <f>ROUND(+'Rate Spread &amp; Design'!$G$21,6)</f>
        <v>1.1249999999999999E-3</v>
      </c>
      <c r="K26" s="217">
        <f>'[3]Rate Impacts'!$H$28</f>
        <v>8491307.2348099165</v>
      </c>
      <c r="L26" s="217"/>
      <c r="M26" s="4">
        <f>K26+G26*(J26-H26)</f>
        <v>8506042.4659031145</v>
      </c>
      <c r="N26" s="4">
        <f>+M26-K26</f>
        <v>14735.231093198061</v>
      </c>
      <c r="O26" s="52">
        <f>IF(K26=0,"n/a",+N26/K26)</f>
        <v>1.7353312847745426E-3</v>
      </c>
      <c r="P26" s="204"/>
    </row>
    <row r="27" spans="1:16" x14ac:dyDescent="0.2">
      <c r="A27" s="84">
        <f t="shared" si="0"/>
        <v>19</v>
      </c>
      <c r="B27" s="60" t="s">
        <v>91</v>
      </c>
      <c r="C27" s="51">
        <v>49</v>
      </c>
      <c r="D27" s="90"/>
      <c r="E27" s="51"/>
      <c r="F27" s="51"/>
      <c r="G27" s="216">
        <f>'Rate Spread &amp; Design'!F22</f>
        <v>534795351.78868973</v>
      </c>
      <c r="H27" s="116">
        <f>'[1]Effective Rate by Schedule'!CQ19</f>
        <v>3.5689999999999997E-3</v>
      </c>
      <c r="I27" s="116"/>
      <c r="J27" s="44">
        <f>ROUND(+'Rate Spread &amp; Design'!$G$22,6)</f>
        <v>4.2370000000000003E-3</v>
      </c>
      <c r="K27" s="217">
        <f>'[3]Rate Impacts'!$H$29</f>
        <v>48820063.769156851</v>
      </c>
      <c r="L27" s="217"/>
      <c r="M27" s="4">
        <f>K27+G27*(J27-H27)</f>
        <v>49177307.064151697</v>
      </c>
      <c r="N27" s="4">
        <f>+M27-K27</f>
        <v>357243.29499484599</v>
      </c>
      <c r="O27" s="52">
        <f>IF(K27=0,"n/a",+N27/K27)</f>
        <v>7.3175507652765972E-3</v>
      </c>
      <c r="P27" s="204"/>
    </row>
    <row r="28" spans="1:16" x14ac:dyDescent="0.2">
      <c r="A28" s="84">
        <f t="shared" si="0"/>
        <v>20</v>
      </c>
      <c r="B28" s="59" t="s">
        <v>22</v>
      </c>
      <c r="C28" s="51" t="s">
        <v>101</v>
      </c>
      <c r="D28" s="90"/>
      <c r="E28" s="51"/>
      <c r="F28" s="51"/>
      <c r="G28" s="218">
        <f>SUM(G26:G27)</f>
        <v>631737661.61236656</v>
      </c>
      <c r="H28" s="219">
        <f>ROUND(SUMPRODUCT($G26:$G27,H26:H27)/$G28,6)</f>
        <v>3.1710000000000002E-3</v>
      </c>
      <c r="I28" s="220"/>
      <c r="J28" s="221">
        <f>ROUND(SUMPRODUCT($G26:$G27,J26:J27)/$G28,6)</f>
        <v>3.7590000000000002E-3</v>
      </c>
      <c r="K28" s="222">
        <f>SUM(K26:K27)</f>
        <v>57311371.003966764</v>
      </c>
      <c r="L28" s="222"/>
      <c r="M28" s="218">
        <f>SUM(M26:M27)</f>
        <v>57683349.530054808</v>
      </c>
      <c r="N28" s="214">
        <f>SUM(N26:N27)</f>
        <v>371978.52608804405</v>
      </c>
      <c r="O28" s="215">
        <f>IF(K28=0,"n/a",+N28/K28)</f>
        <v>6.4904838179895893E-3</v>
      </c>
      <c r="P28" s="204"/>
    </row>
    <row r="29" spans="1:16" x14ac:dyDescent="0.2">
      <c r="A29" s="84">
        <f t="shared" si="0"/>
        <v>21</v>
      </c>
      <c r="B29" s="5"/>
      <c r="C29" s="69" t="s">
        <v>101</v>
      </c>
      <c r="D29" s="90"/>
      <c r="E29" s="69"/>
      <c r="F29" s="69"/>
      <c r="G29" s="6"/>
      <c r="H29" s="104" t="s">
        <v>101</v>
      </c>
      <c r="I29" s="104"/>
      <c r="K29" s="105" t="s">
        <v>101</v>
      </c>
      <c r="L29" s="105"/>
      <c r="M29" s="6"/>
      <c r="P29" s="204"/>
    </row>
    <row r="30" spans="1:16" x14ac:dyDescent="0.2">
      <c r="A30" s="84">
        <f t="shared" si="0"/>
        <v>22</v>
      </c>
      <c r="B30" s="57" t="s">
        <v>96</v>
      </c>
      <c r="C30" s="51" t="s">
        <v>102</v>
      </c>
      <c r="D30" s="90"/>
      <c r="E30" s="51"/>
      <c r="F30" s="51"/>
      <c r="G30" s="210">
        <f>'Rate Spread &amp; Design'!$F$32</f>
        <v>1972429157.4558516</v>
      </c>
      <c r="H30" s="211">
        <f>'[1]Effective Rate by Schedule'!$CQ$21</f>
        <v>1.351E-3</v>
      </c>
      <c r="I30" s="211"/>
      <c r="J30" s="212">
        <f>ROUND('Rate Spread &amp; Design'!$G$32,6)</f>
        <v>1.351E-3</v>
      </c>
      <c r="K30" s="213">
        <f>'[3]Rate Impacts'!$H$32</f>
        <v>12591348.984712183</v>
      </c>
      <c r="L30" s="213"/>
      <c r="M30" s="214">
        <f>K30+G30*(J30-H30)</f>
        <v>12591348.984712183</v>
      </c>
      <c r="N30" s="214">
        <f>+M30-K30</f>
        <v>0</v>
      </c>
      <c r="O30" s="215">
        <f>IF(K30=0,"n/a",+N30/K30)</f>
        <v>0</v>
      </c>
      <c r="P30" s="204"/>
    </row>
    <row r="31" spans="1:16" x14ac:dyDescent="0.2">
      <c r="A31" s="84">
        <f t="shared" si="0"/>
        <v>23</v>
      </c>
      <c r="B31" s="5"/>
      <c r="C31" s="69" t="s">
        <v>101</v>
      </c>
      <c r="D31" s="90"/>
      <c r="E31" s="69"/>
      <c r="F31" s="69"/>
      <c r="G31" s="216"/>
      <c r="H31" s="116" t="s">
        <v>101</v>
      </c>
      <c r="I31" s="116"/>
      <c r="J31" s="44"/>
      <c r="K31" s="105" t="s">
        <v>101</v>
      </c>
      <c r="L31" s="105"/>
      <c r="M31" s="4"/>
      <c r="N31" s="4"/>
      <c r="O31" s="52"/>
      <c r="P31" s="204"/>
    </row>
    <row r="32" spans="1:16" x14ac:dyDescent="0.2">
      <c r="A32" s="84">
        <f t="shared" si="0"/>
        <v>24</v>
      </c>
      <c r="B32" s="59" t="s">
        <v>62</v>
      </c>
      <c r="C32" s="51" t="s">
        <v>63</v>
      </c>
      <c r="D32" s="90"/>
      <c r="E32" s="51"/>
      <c r="F32" s="51"/>
      <c r="G32" s="210">
        <f>'Rate Spread &amp; Design'!$F$24</f>
        <v>304684283.88728809</v>
      </c>
      <c r="H32" s="211">
        <f>'[1]Effective Rate by Schedule'!$CQ$23</f>
        <v>4.2310000000000004E-3</v>
      </c>
      <c r="I32" s="211"/>
      <c r="J32" s="212">
        <f>ROUND(+'Rate Spread &amp; Design'!$G$24,6)</f>
        <v>5.0289999999999996E-3</v>
      </c>
      <c r="K32" s="213">
        <f>'[3]Rate Impacts'!$H$33</f>
        <v>6245198.954628231</v>
      </c>
      <c r="L32" s="213"/>
      <c r="M32" s="214">
        <f>K32+G32*(J32-H32)</f>
        <v>6488337.013170287</v>
      </c>
      <c r="N32" s="214">
        <f>+M32-K32</f>
        <v>243138.05854205601</v>
      </c>
      <c r="O32" s="215">
        <f>IF(K32=0,"n/a",+N32/K32)</f>
        <v>3.8931995651134498E-2</v>
      </c>
      <c r="P32" s="204"/>
    </row>
    <row r="33" spans="1:16" x14ac:dyDescent="0.2">
      <c r="A33" s="84">
        <f t="shared" si="0"/>
        <v>25</v>
      </c>
      <c r="C33" s="69" t="s">
        <v>101</v>
      </c>
      <c r="D33" s="90"/>
      <c r="E33" s="69"/>
      <c r="F33" s="69"/>
      <c r="G33" s="216"/>
      <c r="H33" s="116" t="s">
        <v>101</v>
      </c>
      <c r="I33" s="116"/>
      <c r="J33" s="44"/>
      <c r="K33" s="105" t="s">
        <v>101</v>
      </c>
      <c r="L33" s="105"/>
      <c r="M33" s="4"/>
      <c r="N33" s="4"/>
      <c r="O33" s="52"/>
      <c r="P33" s="204"/>
    </row>
    <row r="34" spans="1:16" x14ac:dyDescent="0.2">
      <c r="A34" s="84">
        <f t="shared" si="0"/>
        <v>26</v>
      </c>
      <c r="B34" s="7" t="s">
        <v>191</v>
      </c>
      <c r="C34" s="51" t="s">
        <v>103</v>
      </c>
      <c r="D34" s="90"/>
      <c r="E34" s="51"/>
      <c r="F34" s="51"/>
      <c r="G34" s="210">
        <f>'Rate Spread &amp; Design'!$F$26</f>
        <v>67443601.461170837</v>
      </c>
      <c r="H34" s="211">
        <f>'[1]Effective Rate by Schedule'!$CQ$25</f>
        <v>2.323E-3</v>
      </c>
      <c r="I34" s="211"/>
      <c r="J34" s="212">
        <f>ROUND(+'Rate Spread &amp; Design'!$G$26,6)</f>
        <v>2.6700000000000001E-3</v>
      </c>
      <c r="K34" s="213">
        <f>'[3]Rate Impacts'!$H$34</f>
        <v>23248217.114451002</v>
      </c>
      <c r="L34" s="213"/>
      <c r="M34" s="214">
        <f>K34+G34*(J34-H34)</f>
        <v>23271620.04415803</v>
      </c>
      <c r="N34" s="214">
        <f>+M34-K34</f>
        <v>23402.929707027972</v>
      </c>
      <c r="O34" s="215">
        <f>IF(K34=0,"n/a",+N34/K34)</f>
        <v>1.0066548153699409E-3</v>
      </c>
      <c r="P34" s="204"/>
    </row>
    <row r="35" spans="1:16" x14ac:dyDescent="0.2">
      <c r="A35" s="84">
        <f t="shared" si="0"/>
        <v>27</v>
      </c>
      <c r="C35" s="69" t="s">
        <v>101</v>
      </c>
      <c r="D35" s="90"/>
      <c r="E35" s="69"/>
      <c r="F35" s="69"/>
      <c r="H35" s="117" t="s">
        <v>101</v>
      </c>
      <c r="I35" s="117"/>
      <c r="J35" s="19"/>
      <c r="K35" s="105" t="s">
        <v>101</v>
      </c>
      <c r="L35" s="105"/>
      <c r="M35" s="4"/>
      <c r="N35" s="4"/>
      <c r="O35" s="52"/>
      <c r="P35" s="204"/>
    </row>
    <row r="36" spans="1:16" ht="12" thickBot="1" x14ac:dyDescent="0.25">
      <c r="A36" s="84">
        <f t="shared" si="0"/>
        <v>28</v>
      </c>
      <c r="B36" s="107" t="s">
        <v>11</v>
      </c>
      <c r="C36" s="102" t="s">
        <v>101</v>
      </c>
      <c r="D36" s="103"/>
      <c r="E36" s="102"/>
      <c r="F36" s="102"/>
      <c r="G36" s="223">
        <f>SUM(G10,G17,G23,G28,G30,G34,G32)</f>
        <v>23432176300.192425</v>
      </c>
      <c r="H36" s="224">
        <f>ROUND(($G10*H10+$G17*H17+$G23*H23+$G28*H28+$G30*H30+$G32*H32+$G34*H34)/$G36,6)</f>
        <v>4.3010000000000001E-3</v>
      </c>
      <c r="I36" s="224"/>
      <c r="J36" s="225">
        <f>ROUND(($G10*J10+$G17*J17+$G23*J23+$G28*J28+$G30*J30+$G32*J32+$G34*J34)/$G36,6)</f>
        <v>5.1850000000000004E-3</v>
      </c>
      <c r="K36" s="226">
        <f>SUM(K10,K17,K23,K28,K30,K34,K32)</f>
        <v>2838719134.3824911</v>
      </c>
      <c r="L36" s="226"/>
      <c r="M36" s="227">
        <f>SUM(M10,M17,M23,M28,M30,M34,M32)</f>
        <v>2859437054.5834727</v>
      </c>
      <c r="N36" s="227">
        <f>SUM(N10,N17,N23,N28,N30,N34,N32)</f>
        <v>20717920.200981788</v>
      </c>
      <c r="O36" s="228">
        <f>IF(K36=0,"n/a",+N36/K36)</f>
        <v>7.2983339387285226E-3</v>
      </c>
      <c r="P36" s="204"/>
    </row>
    <row r="37" spans="1:16" ht="12" thickTop="1" x14ac:dyDescent="0.2">
      <c r="A37" s="84">
        <f t="shared" si="0"/>
        <v>29</v>
      </c>
      <c r="C37" s="104" t="s">
        <v>101</v>
      </c>
      <c r="D37" s="104"/>
      <c r="E37" s="105"/>
      <c r="F37" s="105"/>
      <c r="G37" s="108">
        <f>'[3]Rate Impacts'!$E$36-G36</f>
        <v>0</v>
      </c>
      <c r="H37" s="118" t="s">
        <v>101</v>
      </c>
      <c r="I37" s="119"/>
      <c r="K37" s="105" t="s">
        <v>101</v>
      </c>
      <c r="L37" s="105"/>
      <c r="P37" s="204"/>
    </row>
    <row r="38" spans="1:16" x14ac:dyDescent="0.2">
      <c r="A38" s="84">
        <f t="shared" si="0"/>
        <v>30</v>
      </c>
      <c r="C38" s="104" t="s">
        <v>101</v>
      </c>
      <c r="D38" s="104"/>
      <c r="E38" s="105"/>
      <c r="F38" s="105"/>
      <c r="H38" s="105" t="s">
        <v>101</v>
      </c>
      <c r="I38" s="119"/>
      <c r="K38" s="105" t="s">
        <v>101</v>
      </c>
      <c r="L38" s="105"/>
      <c r="P38" s="204"/>
    </row>
    <row r="39" spans="1:16" ht="13.5" x14ac:dyDescent="0.2">
      <c r="A39" s="84">
        <f t="shared" ref="A39:A44" si="1">A38+1</f>
        <v>31</v>
      </c>
      <c r="B39" s="120" t="s">
        <v>180</v>
      </c>
      <c r="C39" s="94"/>
      <c r="D39" s="95"/>
      <c r="E39" s="96"/>
      <c r="F39" s="96"/>
      <c r="G39" s="106"/>
      <c r="H39" s="106"/>
      <c r="I39" s="95"/>
      <c r="J39" s="95"/>
      <c r="K39" s="96"/>
      <c r="L39" s="96"/>
      <c r="M39" s="96"/>
      <c r="N39" s="95"/>
      <c r="O39" s="95"/>
      <c r="P39" s="204"/>
    </row>
    <row r="40" spans="1:16" ht="13.5" x14ac:dyDescent="0.35">
      <c r="A40" s="84">
        <f t="shared" si="1"/>
        <v>32</v>
      </c>
      <c r="B40" s="68"/>
      <c r="C40" s="229" t="s">
        <v>179</v>
      </c>
      <c r="D40" s="229"/>
      <c r="E40" s="229"/>
      <c r="F40" s="229"/>
      <c r="G40" s="229"/>
      <c r="H40" s="230"/>
      <c r="I40" s="229" t="s">
        <v>117</v>
      </c>
      <c r="J40" s="231"/>
      <c r="K40" s="231"/>
      <c r="L40" s="231"/>
      <c r="M40" s="231"/>
      <c r="N40" s="92"/>
      <c r="O40" s="92"/>
      <c r="P40" s="204"/>
    </row>
    <row r="41" spans="1:16" ht="40.5" x14ac:dyDescent="0.35">
      <c r="A41" s="84">
        <f t="shared" si="1"/>
        <v>33</v>
      </c>
      <c r="C41" s="91" t="s">
        <v>157</v>
      </c>
      <c r="D41" s="91" t="s">
        <v>136</v>
      </c>
      <c r="E41" s="91" t="s">
        <v>137</v>
      </c>
      <c r="F41" s="91" t="s">
        <v>178</v>
      </c>
      <c r="G41" s="91" t="s">
        <v>179</v>
      </c>
      <c r="H41" s="91"/>
      <c r="I41" s="91" t="s">
        <v>157</v>
      </c>
      <c r="J41" s="91" t="s">
        <v>136</v>
      </c>
      <c r="K41" s="91" t="s">
        <v>137</v>
      </c>
      <c r="L41" s="91" t="s">
        <v>178</v>
      </c>
      <c r="M41" s="232" t="s">
        <v>117</v>
      </c>
      <c r="N41" s="232" t="s">
        <v>118</v>
      </c>
      <c r="O41" s="232" t="s">
        <v>119</v>
      </c>
      <c r="P41" s="204"/>
    </row>
    <row r="42" spans="1:16" x14ac:dyDescent="0.2">
      <c r="A42" s="84">
        <f t="shared" si="1"/>
        <v>34</v>
      </c>
      <c r="B42" s="93" t="s">
        <v>135</v>
      </c>
      <c r="C42" s="233">
        <f>'[3]RES Impacts'!$C$8</f>
        <v>7.49</v>
      </c>
      <c r="D42" s="233">
        <f>'[3]RES Impacts'!$D$8</f>
        <v>53.66</v>
      </c>
      <c r="E42" s="233">
        <f>'[3]RES Impacts'!$E$8</f>
        <v>21.77</v>
      </c>
      <c r="F42" s="233">
        <f>'[3]RES Impacts'!$F$8</f>
        <v>26.21</v>
      </c>
      <c r="G42" s="33">
        <f>SUM(C42:F42)</f>
        <v>109.13</v>
      </c>
      <c r="H42" s="33"/>
      <c r="I42" s="262">
        <f>C42</f>
        <v>7.49</v>
      </c>
      <c r="J42" s="262">
        <f>D42</f>
        <v>53.66</v>
      </c>
      <c r="K42" s="262">
        <f>E42</f>
        <v>21.77</v>
      </c>
      <c r="L42" s="234">
        <f>ROUND(F42+($J$10-$H$10)*800,2)</f>
        <v>27.05</v>
      </c>
      <c r="M42" s="33">
        <f>SUM(I42:L42)</f>
        <v>109.97</v>
      </c>
      <c r="N42" s="235">
        <f>M42-G42</f>
        <v>0.84000000000000341</v>
      </c>
      <c r="O42" s="236">
        <f>N42/G42</f>
        <v>7.6972418216805965E-3</v>
      </c>
      <c r="P42" s="204"/>
    </row>
    <row r="43" spans="1:16" x14ac:dyDescent="0.2">
      <c r="A43" s="84">
        <f t="shared" si="1"/>
        <v>35</v>
      </c>
      <c r="E43" s="20"/>
      <c r="F43" s="20"/>
      <c r="G43" s="20"/>
      <c r="H43" s="20"/>
      <c r="I43" s="20"/>
      <c r="J43" s="20"/>
      <c r="M43" s="20"/>
      <c r="N43" s="20"/>
      <c r="O43" s="20"/>
      <c r="P43" s="204"/>
    </row>
    <row r="44" spans="1:16" x14ac:dyDescent="0.2">
      <c r="A44" s="84">
        <f t="shared" si="1"/>
        <v>36</v>
      </c>
      <c r="B44" s="293" t="s">
        <v>192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04"/>
    </row>
    <row r="45" spans="1:16" x14ac:dyDescent="0.2">
      <c r="A45" s="84"/>
      <c r="D45" s="6"/>
      <c r="E45" s="6"/>
      <c r="F45" s="6"/>
      <c r="G45" s="6"/>
      <c r="H45" s="6"/>
      <c r="K45" s="6"/>
      <c r="L45" s="6"/>
      <c r="M45" s="6"/>
      <c r="P45" s="204"/>
    </row>
    <row r="46" spans="1:16" x14ac:dyDescent="0.2">
      <c r="A46" s="84"/>
      <c r="D46" s="6"/>
      <c r="E46" s="6"/>
      <c r="F46" s="6"/>
      <c r="G46" s="6"/>
      <c r="H46" s="6"/>
      <c r="K46" s="6"/>
      <c r="L46" s="6"/>
      <c r="M46" s="6"/>
      <c r="P46" s="204"/>
    </row>
    <row r="47" spans="1:16" x14ac:dyDescent="0.2">
      <c r="A47" s="84"/>
      <c r="D47" s="6"/>
      <c r="E47" s="6"/>
      <c r="F47" s="6"/>
      <c r="G47" s="6"/>
      <c r="H47" s="6"/>
      <c r="K47" s="6"/>
      <c r="L47" s="6"/>
      <c r="M47" s="6"/>
      <c r="P47" s="204"/>
    </row>
    <row r="48" spans="1:16" x14ac:dyDescent="0.2">
      <c r="A48" s="84"/>
      <c r="D48" s="6"/>
      <c r="E48" s="6"/>
      <c r="F48" s="6"/>
      <c r="G48" s="6"/>
      <c r="H48" s="6"/>
      <c r="K48" s="6"/>
      <c r="L48" s="6"/>
      <c r="M48" s="6"/>
      <c r="P48" s="204"/>
    </row>
    <row r="49" spans="1:16" x14ac:dyDescent="0.2">
      <c r="A49" s="84"/>
      <c r="D49" s="6"/>
      <c r="E49" s="6"/>
      <c r="F49" s="6"/>
      <c r="G49" s="6"/>
      <c r="H49" s="6"/>
      <c r="K49" s="6"/>
      <c r="L49" s="6"/>
      <c r="M49" s="6"/>
      <c r="P49" s="204"/>
    </row>
    <row r="50" spans="1:16" x14ac:dyDescent="0.2">
      <c r="A50" s="84"/>
      <c r="D50" s="6"/>
      <c r="E50" s="6"/>
      <c r="F50" s="6"/>
      <c r="G50" s="6"/>
      <c r="H50" s="6"/>
      <c r="K50" s="6"/>
      <c r="L50" s="6"/>
      <c r="M50" s="6"/>
      <c r="P50" s="204"/>
    </row>
    <row r="51" spans="1:16" x14ac:dyDescent="0.2">
      <c r="A51" s="84"/>
      <c r="D51" s="6"/>
      <c r="E51" s="6"/>
      <c r="F51" s="6"/>
      <c r="G51" s="6"/>
      <c r="H51" s="6"/>
      <c r="K51" s="6"/>
      <c r="L51" s="6"/>
      <c r="M51" s="6"/>
      <c r="P51" s="204"/>
    </row>
    <row r="52" spans="1:16" x14ac:dyDescent="0.2">
      <c r="A52" s="84"/>
      <c r="D52" s="6"/>
      <c r="E52" s="6"/>
      <c r="F52" s="6"/>
      <c r="G52" s="6"/>
      <c r="H52" s="6"/>
      <c r="K52" s="6"/>
      <c r="L52" s="6"/>
      <c r="M52" s="6"/>
      <c r="P52" s="204"/>
    </row>
    <row r="53" spans="1:16" x14ac:dyDescent="0.2">
      <c r="A53" s="84"/>
      <c r="D53" s="6"/>
      <c r="E53" s="6"/>
      <c r="F53" s="6"/>
      <c r="G53" s="6"/>
      <c r="H53" s="6"/>
      <c r="K53" s="6"/>
      <c r="L53" s="6"/>
      <c r="M53" s="6"/>
      <c r="P53" s="204"/>
    </row>
    <row r="54" spans="1:16" x14ac:dyDescent="0.2">
      <c r="A54" s="84"/>
      <c r="D54" s="6"/>
      <c r="E54" s="6"/>
      <c r="F54" s="6"/>
      <c r="G54" s="6"/>
      <c r="H54" s="6"/>
      <c r="K54" s="6"/>
      <c r="L54" s="6"/>
      <c r="M54" s="6"/>
      <c r="P54" s="204"/>
    </row>
    <row r="55" spans="1:16" x14ac:dyDescent="0.2">
      <c r="A55" s="84"/>
      <c r="D55" s="6"/>
      <c r="E55" s="6"/>
      <c r="F55" s="6"/>
      <c r="G55" s="6"/>
      <c r="H55" s="6"/>
      <c r="K55" s="6"/>
      <c r="L55" s="6"/>
      <c r="M55" s="6"/>
      <c r="P55" s="204"/>
    </row>
    <row r="56" spans="1:16" x14ac:dyDescent="0.2">
      <c r="A56" s="84"/>
      <c r="D56" s="6"/>
      <c r="E56" s="6"/>
      <c r="F56" s="6"/>
      <c r="G56" s="6"/>
      <c r="H56" s="6"/>
      <c r="K56" s="6"/>
      <c r="L56" s="6"/>
      <c r="M56" s="6"/>
      <c r="P56" s="204"/>
    </row>
    <row r="57" spans="1:16" x14ac:dyDescent="0.2">
      <c r="A57" s="84"/>
      <c r="D57" s="6"/>
      <c r="E57" s="6"/>
      <c r="F57" s="6"/>
      <c r="G57" s="6"/>
      <c r="H57" s="6"/>
      <c r="K57" s="6"/>
      <c r="L57" s="6"/>
      <c r="M57" s="6"/>
      <c r="P57" s="204"/>
    </row>
    <row r="58" spans="1:16" x14ac:dyDescent="0.2">
      <c r="A58" s="84"/>
      <c r="D58" s="6"/>
      <c r="E58" s="6"/>
      <c r="F58" s="6"/>
      <c r="G58" s="6"/>
      <c r="H58" s="6"/>
      <c r="K58" s="6"/>
      <c r="L58" s="6"/>
      <c r="M58" s="6"/>
      <c r="P58" s="204"/>
    </row>
    <row r="59" spans="1:16" x14ac:dyDescent="0.2">
      <c r="A59" s="84"/>
      <c r="D59" s="6"/>
      <c r="E59" s="6"/>
      <c r="F59" s="6"/>
      <c r="G59" s="6"/>
      <c r="H59" s="6"/>
      <c r="K59" s="6"/>
      <c r="L59" s="6"/>
      <c r="M59" s="6"/>
      <c r="P59" s="204"/>
    </row>
    <row r="60" spans="1:16" x14ac:dyDescent="0.2">
      <c r="A60" s="84"/>
      <c r="D60" s="6"/>
      <c r="E60" s="6"/>
      <c r="F60" s="6"/>
      <c r="G60" s="6"/>
      <c r="H60" s="6"/>
      <c r="K60" s="6"/>
      <c r="L60" s="6"/>
      <c r="M60" s="6"/>
      <c r="P60" s="204"/>
    </row>
    <row r="61" spans="1:16" x14ac:dyDescent="0.2">
      <c r="A61" s="84"/>
      <c r="D61" s="6"/>
      <c r="E61" s="6"/>
      <c r="F61" s="6"/>
      <c r="G61" s="6"/>
      <c r="H61" s="6"/>
      <c r="K61" s="6"/>
      <c r="L61" s="6"/>
      <c r="M61" s="6"/>
      <c r="P61" s="204"/>
    </row>
    <row r="62" spans="1:16" x14ac:dyDescent="0.2">
      <c r="A62" s="84"/>
      <c r="D62" s="6"/>
      <c r="E62" s="6"/>
      <c r="F62" s="6"/>
      <c r="G62" s="6"/>
      <c r="H62" s="6"/>
      <c r="K62" s="6"/>
      <c r="L62" s="6"/>
      <c r="M62" s="6"/>
      <c r="P62" s="204"/>
    </row>
    <row r="63" spans="1:16" x14ac:dyDescent="0.2">
      <c r="A63" s="84"/>
      <c r="D63" s="6"/>
      <c r="E63" s="6"/>
      <c r="F63" s="6"/>
      <c r="G63" s="6"/>
      <c r="H63" s="6"/>
      <c r="K63" s="6"/>
      <c r="L63" s="6"/>
      <c r="M63" s="6"/>
      <c r="P63" s="204"/>
    </row>
    <row r="64" spans="1:16" x14ac:dyDescent="0.2">
      <c r="A64" s="84"/>
      <c r="D64" s="6"/>
      <c r="E64" s="6"/>
      <c r="F64" s="6"/>
      <c r="G64" s="6"/>
      <c r="H64" s="6"/>
      <c r="K64" s="6"/>
      <c r="L64" s="6"/>
      <c r="M64" s="6"/>
      <c r="P64" s="204"/>
    </row>
    <row r="65" spans="1:16" x14ac:dyDescent="0.2">
      <c r="A65" s="84"/>
      <c r="D65" s="6"/>
      <c r="E65" s="6"/>
      <c r="F65" s="6"/>
      <c r="G65" s="6"/>
      <c r="H65" s="6"/>
      <c r="K65" s="6"/>
      <c r="L65" s="6"/>
      <c r="M65" s="6"/>
      <c r="P65" s="204"/>
    </row>
    <row r="66" spans="1:16" x14ac:dyDescent="0.2">
      <c r="A66" s="84"/>
      <c r="D66" s="6"/>
      <c r="E66" s="6"/>
      <c r="F66" s="6"/>
      <c r="G66" s="6"/>
      <c r="H66" s="6"/>
      <c r="K66" s="6"/>
      <c r="L66" s="6"/>
      <c r="M66" s="6"/>
      <c r="P66" s="204"/>
    </row>
    <row r="67" spans="1:16" x14ac:dyDescent="0.2">
      <c r="A67" s="84"/>
      <c r="D67" s="6"/>
      <c r="E67" s="6"/>
      <c r="F67" s="6"/>
      <c r="G67" s="6"/>
      <c r="H67" s="6"/>
      <c r="K67" s="6"/>
      <c r="L67" s="6"/>
      <c r="M67" s="6"/>
      <c r="P67" s="204"/>
    </row>
    <row r="68" spans="1:16" x14ac:dyDescent="0.2">
      <c r="A68" s="84"/>
      <c r="D68" s="6"/>
      <c r="E68" s="6"/>
      <c r="F68" s="6"/>
      <c r="G68" s="6"/>
      <c r="H68" s="6"/>
      <c r="K68" s="6"/>
      <c r="L68" s="6"/>
      <c r="M68" s="6"/>
      <c r="P68" s="204"/>
    </row>
    <row r="69" spans="1:16" x14ac:dyDescent="0.2">
      <c r="A69" s="84"/>
      <c r="D69" s="6"/>
      <c r="E69" s="6"/>
      <c r="F69" s="6"/>
      <c r="G69" s="6"/>
      <c r="H69" s="6"/>
      <c r="K69" s="6"/>
      <c r="L69" s="6"/>
      <c r="M69" s="6"/>
      <c r="P69" s="204"/>
    </row>
    <row r="70" spans="1:16" x14ac:dyDescent="0.2">
      <c r="A70" s="84"/>
      <c r="D70" s="6"/>
      <c r="E70" s="6"/>
      <c r="F70" s="6"/>
      <c r="G70" s="6"/>
      <c r="H70" s="6"/>
      <c r="K70" s="6"/>
      <c r="L70" s="6"/>
      <c r="M70" s="6"/>
      <c r="P70" s="204"/>
    </row>
    <row r="71" spans="1:16" x14ac:dyDescent="0.2">
      <c r="A71" s="84"/>
      <c r="D71" s="6"/>
      <c r="E71" s="6"/>
      <c r="F71" s="6"/>
      <c r="G71" s="6"/>
      <c r="H71" s="6"/>
      <c r="K71" s="6"/>
      <c r="L71" s="6"/>
      <c r="M71" s="6"/>
      <c r="P71" s="204"/>
    </row>
    <row r="72" spans="1:16" x14ac:dyDescent="0.2">
      <c r="A72" s="84"/>
      <c r="D72" s="6"/>
      <c r="E72" s="6"/>
      <c r="F72" s="6"/>
      <c r="G72" s="6"/>
      <c r="H72" s="6"/>
      <c r="K72" s="6"/>
      <c r="L72" s="6"/>
      <c r="M72" s="6"/>
      <c r="P72" s="204"/>
    </row>
    <row r="73" spans="1:16" x14ac:dyDescent="0.2">
      <c r="A73" s="84"/>
      <c r="D73" s="6"/>
      <c r="E73" s="6"/>
      <c r="F73" s="6"/>
      <c r="G73" s="6"/>
      <c r="H73" s="6"/>
      <c r="K73" s="6"/>
      <c r="L73" s="6"/>
      <c r="M73" s="6"/>
      <c r="P73" s="204"/>
    </row>
    <row r="74" spans="1:16" x14ac:dyDescent="0.2">
      <c r="A74" s="84"/>
      <c r="D74" s="6"/>
      <c r="E74" s="6"/>
      <c r="F74" s="6"/>
      <c r="G74" s="6"/>
      <c r="H74" s="6"/>
      <c r="K74" s="6"/>
      <c r="L74" s="6"/>
      <c r="M74" s="6"/>
      <c r="P74" s="204"/>
    </row>
    <row r="75" spans="1:16" x14ac:dyDescent="0.2">
      <c r="A75" s="84"/>
      <c r="D75" s="6"/>
      <c r="E75" s="6"/>
      <c r="F75" s="6"/>
      <c r="G75" s="6"/>
      <c r="H75" s="6"/>
      <c r="K75" s="6"/>
      <c r="L75" s="6"/>
      <c r="M75" s="6"/>
      <c r="P75" s="204"/>
    </row>
    <row r="76" spans="1:16" x14ac:dyDescent="0.2">
      <c r="A76" s="84"/>
      <c r="D76" s="6"/>
      <c r="E76" s="6"/>
      <c r="F76" s="6"/>
      <c r="G76" s="6"/>
      <c r="H76" s="6"/>
      <c r="K76" s="6"/>
      <c r="L76" s="6"/>
      <c r="M76" s="6"/>
      <c r="P76" s="204"/>
    </row>
    <row r="77" spans="1:16" x14ac:dyDescent="0.2">
      <c r="A77" s="84"/>
      <c r="D77" s="6"/>
      <c r="E77" s="6"/>
      <c r="F77" s="6"/>
      <c r="G77" s="6"/>
      <c r="H77" s="6"/>
      <c r="K77" s="6"/>
      <c r="L77" s="6"/>
      <c r="M77" s="6"/>
      <c r="P77" s="204"/>
    </row>
    <row r="78" spans="1:16" x14ac:dyDescent="0.2">
      <c r="A78" s="84"/>
      <c r="D78" s="6"/>
      <c r="E78" s="6"/>
      <c r="F78" s="6"/>
      <c r="G78" s="6"/>
      <c r="H78" s="6"/>
      <c r="K78" s="6"/>
      <c r="L78" s="6"/>
      <c r="M78" s="6"/>
      <c r="P78" s="204"/>
    </row>
    <row r="79" spans="1:16" x14ac:dyDescent="0.2">
      <c r="A79" s="84"/>
      <c r="D79" s="6"/>
      <c r="E79" s="6"/>
      <c r="F79" s="6"/>
      <c r="G79" s="6"/>
      <c r="H79" s="6"/>
      <c r="K79" s="6"/>
      <c r="L79" s="6"/>
      <c r="M79" s="6"/>
      <c r="P79" s="204"/>
    </row>
    <row r="80" spans="1:16" x14ac:dyDescent="0.2">
      <c r="A80" s="84"/>
      <c r="D80" s="6"/>
      <c r="E80" s="6"/>
      <c r="F80" s="6"/>
      <c r="G80" s="6"/>
      <c r="H80" s="6"/>
      <c r="K80" s="6"/>
      <c r="L80" s="6"/>
      <c r="M80" s="6"/>
      <c r="P80" s="204"/>
    </row>
    <row r="81" spans="1:16" x14ac:dyDescent="0.2">
      <c r="A81" s="84"/>
      <c r="D81" s="6"/>
      <c r="E81" s="6"/>
      <c r="F81" s="6"/>
      <c r="G81" s="6"/>
      <c r="H81" s="6"/>
      <c r="K81" s="6"/>
      <c r="L81" s="6"/>
      <c r="M81" s="6"/>
      <c r="P81" s="204"/>
    </row>
    <row r="82" spans="1:16" x14ac:dyDescent="0.2">
      <c r="A82" s="84"/>
      <c r="D82" s="6"/>
      <c r="E82" s="6"/>
      <c r="F82" s="6"/>
      <c r="G82" s="6"/>
      <c r="H82" s="6"/>
      <c r="K82" s="6"/>
      <c r="L82" s="6"/>
      <c r="M82" s="6"/>
      <c r="P82" s="204"/>
    </row>
    <row r="83" spans="1:16" x14ac:dyDescent="0.2">
      <c r="A83" s="84"/>
      <c r="D83" s="6"/>
      <c r="E83" s="6"/>
      <c r="F83" s="6"/>
      <c r="G83" s="6"/>
      <c r="H83" s="6"/>
      <c r="K83" s="6"/>
      <c r="L83" s="6"/>
      <c r="M83" s="6"/>
      <c r="P83" s="204"/>
    </row>
    <row r="84" spans="1:16" x14ac:dyDescent="0.2">
      <c r="A84" s="84"/>
      <c r="D84" s="6"/>
      <c r="E84" s="6"/>
      <c r="F84" s="6"/>
      <c r="G84" s="6"/>
      <c r="H84" s="6"/>
      <c r="K84" s="6"/>
      <c r="L84" s="6"/>
      <c r="M84" s="6"/>
      <c r="P84" s="204"/>
    </row>
    <row r="85" spans="1:16" x14ac:dyDescent="0.2">
      <c r="A85" s="84"/>
      <c r="D85" s="6"/>
      <c r="E85" s="6"/>
      <c r="F85" s="6"/>
      <c r="G85" s="6"/>
      <c r="H85" s="6"/>
      <c r="K85" s="6"/>
      <c r="L85" s="6"/>
      <c r="M85" s="6"/>
      <c r="P85" s="204"/>
    </row>
    <row r="86" spans="1:16" x14ac:dyDescent="0.2">
      <c r="A86" s="84"/>
      <c r="D86" s="6"/>
      <c r="E86" s="6"/>
      <c r="F86" s="6"/>
      <c r="G86" s="6"/>
      <c r="H86" s="6"/>
      <c r="K86" s="6"/>
      <c r="L86" s="6"/>
      <c r="M86" s="6"/>
      <c r="P86" s="204"/>
    </row>
    <row r="87" spans="1:16" x14ac:dyDescent="0.2">
      <c r="A87" s="84"/>
      <c r="D87" s="6"/>
      <c r="E87" s="6"/>
      <c r="F87" s="6"/>
      <c r="G87" s="6"/>
      <c r="H87" s="6"/>
      <c r="K87" s="6"/>
      <c r="L87" s="6"/>
      <c r="M87" s="6"/>
      <c r="P87" s="204"/>
    </row>
    <row r="88" spans="1:16" x14ac:dyDescent="0.2">
      <c r="A88" s="84"/>
      <c r="D88" s="6"/>
      <c r="E88" s="6"/>
      <c r="F88" s="6"/>
      <c r="G88" s="6"/>
      <c r="H88" s="6"/>
      <c r="K88" s="6"/>
      <c r="L88" s="6"/>
      <c r="M88" s="6"/>
      <c r="P88" s="204"/>
    </row>
    <row r="89" spans="1:16" x14ac:dyDescent="0.2">
      <c r="A89" s="84"/>
      <c r="D89" s="6"/>
      <c r="E89" s="6"/>
      <c r="F89" s="6"/>
      <c r="G89" s="6"/>
      <c r="H89" s="6"/>
      <c r="K89" s="6"/>
      <c r="L89" s="6"/>
      <c r="M89" s="6"/>
      <c r="P89" s="204"/>
    </row>
    <row r="90" spans="1:16" x14ac:dyDescent="0.2">
      <c r="A90" s="84"/>
      <c r="D90" s="6"/>
      <c r="E90" s="6"/>
      <c r="F90" s="6"/>
      <c r="G90" s="6"/>
      <c r="H90" s="6"/>
      <c r="K90" s="6"/>
      <c r="L90" s="6"/>
      <c r="M90" s="6"/>
      <c r="P90" s="204"/>
    </row>
    <row r="91" spans="1:16" x14ac:dyDescent="0.2">
      <c r="A91" s="84"/>
      <c r="D91" s="6"/>
      <c r="E91" s="6"/>
      <c r="F91" s="6"/>
      <c r="G91" s="6"/>
      <c r="H91" s="6"/>
      <c r="K91" s="6"/>
      <c r="L91" s="6"/>
      <c r="M91" s="6"/>
      <c r="P91" s="204"/>
    </row>
    <row r="92" spans="1:16" x14ac:dyDescent="0.2">
      <c r="A92" s="84"/>
      <c r="D92" s="6"/>
      <c r="E92" s="6"/>
      <c r="F92" s="6"/>
      <c r="G92" s="6"/>
      <c r="H92" s="6"/>
      <c r="K92" s="6"/>
      <c r="L92" s="6"/>
      <c r="M92" s="6"/>
      <c r="P92" s="204"/>
    </row>
    <row r="93" spans="1:16" x14ac:dyDescent="0.2">
      <c r="A93" s="84"/>
      <c r="D93" s="6"/>
      <c r="E93" s="6"/>
      <c r="F93" s="6"/>
      <c r="G93" s="6"/>
      <c r="H93" s="6"/>
      <c r="K93" s="6"/>
      <c r="L93" s="6"/>
      <c r="M93" s="6"/>
      <c r="P93" s="204"/>
    </row>
    <row r="94" spans="1:16" x14ac:dyDescent="0.2">
      <c r="A94" s="84"/>
      <c r="D94" s="6"/>
      <c r="E94" s="6"/>
      <c r="F94" s="6"/>
      <c r="G94" s="6"/>
      <c r="H94" s="6"/>
      <c r="K94" s="6"/>
      <c r="L94" s="6"/>
      <c r="M94" s="6"/>
      <c r="P94" s="204"/>
    </row>
    <row r="95" spans="1:16" x14ac:dyDescent="0.2">
      <c r="A95" s="84"/>
      <c r="D95" s="6"/>
      <c r="E95" s="6"/>
      <c r="F95" s="6"/>
      <c r="G95" s="6"/>
      <c r="H95" s="6"/>
      <c r="K95" s="6"/>
      <c r="L95" s="6"/>
      <c r="M95" s="6"/>
      <c r="P95" s="204"/>
    </row>
    <row r="96" spans="1:16" x14ac:dyDescent="0.2">
      <c r="A96" s="84"/>
      <c r="D96" s="6"/>
      <c r="E96" s="6"/>
      <c r="F96" s="6"/>
      <c r="G96" s="6"/>
      <c r="H96" s="6"/>
      <c r="K96" s="6"/>
      <c r="L96" s="6"/>
      <c r="M96" s="6"/>
      <c r="P96" s="204"/>
    </row>
    <row r="97" spans="1:16" x14ac:dyDescent="0.2">
      <c r="A97" s="84"/>
      <c r="D97" s="6"/>
      <c r="E97" s="6"/>
      <c r="F97" s="6"/>
      <c r="G97" s="6"/>
      <c r="H97" s="6"/>
      <c r="K97" s="6"/>
      <c r="L97" s="6"/>
      <c r="M97" s="6"/>
      <c r="P97" s="204"/>
    </row>
    <row r="98" spans="1:16" x14ac:dyDescent="0.2">
      <c r="A98" s="84"/>
      <c r="D98" s="6"/>
      <c r="E98" s="6"/>
      <c r="F98" s="6"/>
      <c r="G98" s="6"/>
      <c r="H98" s="6"/>
      <c r="K98" s="6"/>
      <c r="L98" s="6"/>
      <c r="M98" s="6"/>
      <c r="P98" s="204"/>
    </row>
    <row r="99" spans="1:16" x14ac:dyDescent="0.2">
      <c r="A99" s="84"/>
      <c r="D99" s="6"/>
      <c r="E99" s="6"/>
      <c r="F99" s="6"/>
      <c r="G99" s="6"/>
      <c r="H99" s="6"/>
      <c r="K99" s="6"/>
      <c r="L99" s="6"/>
      <c r="M99" s="6"/>
      <c r="P99" s="204"/>
    </row>
    <row r="100" spans="1:16" x14ac:dyDescent="0.2">
      <c r="A100" s="84"/>
      <c r="D100" s="6"/>
      <c r="E100" s="6"/>
      <c r="F100" s="6"/>
      <c r="G100" s="6"/>
      <c r="H100" s="6"/>
      <c r="K100" s="6"/>
      <c r="L100" s="6"/>
      <c r="M100" s="6"/>
      <c r="P100" s="204"/>
    </row>
    <row r="101" spans="1:16" x14ac:dyDescent="0.2">
      <c r="A101" s="84"/>
      <c r="D101" s="6"/>
      <c r="E101" s="6"/>
      <c r="F101" s="6"/>
      <c r="G101" s="6"/>
      <c r="H101" s="6"/>
      <c r="K101" s="6"/>
      <c r="L101" s="6"/>
      <c r="M101" s="6"/>
      <c r="P101" s="204"/>
    </row>
    <row r="102" spans="1:16" x14ac:dyDescent="0.2">
      <c r="A102" s="84"/>
      <c r="D102" s="6"/>
      <c r="E102" s="6"/>
      <c r="F102" s="6"/>
      <c r="G102" s="6"/>
      <c r="H102" s="6"/>
      <c r="K102" s="6"/>
      <c r="L102" s="6"/>
      <c r="M102" s="6"/>
      <c r="P102" s="204"/>
    </row>
    <row r="103" spans="1:16" x14ac:dyDescent="0.2">
      <c r="A103" s="84"/>
      <c r="D103" s="6"/>
      <c r="E103" s="6"/>
      <c r="F103" s="6"/>
      <c r="G103" s="6"/>
      <c r="H103" s="6"/>
      <c r="K103" s="6"/>
      <c r="L103" s="6"/>
      <c r="M103" s="6"/>
      <c r="P103" s="204"/>
    </row>
    <row r="104" spans="1:16" x14ac:dyDescent="0.2">
      <c r="A104" s="84"/>
      <c r="D104" s="6"/>
      <c r="E104" s="6"/>
      <c r="F104" s="6"/>
      <c r="G104" s="6"/>
      <c r="H104" s="6"/>
      <c r="K104" s="6"/>
      <c r="L104" s="6"/>
      <c r="M104" s="6"/>
      <c r="P104" s="204"/>
    </row>
    <row r="105" spans="1:16" x14ac:dyDescent="0.2">
      <c r="A105" s="84"/>
      <c r="D105" s="6"/>
      <c r="E105" s="6"/>
      <c r="F105" s="6"/>
      <c r="G105" s="6"/>
      <c r="H105" s="6"/>
      <c r="K105" s="6"/>
      <c r="L105" s="6"/>
      <c r="M105" s="6"/>
      <c r="P105" s="204"/>
    </row>
    <row r="106" spans="1:16" x14ac:dyDescent="0.2">
      <c r="A106" s="84"/>
      <c r="D106" s="6"/>
      <c r="E106" s="6"/>
      <c r="F106" s="6"/>
      <c r="G106" s="6"/>
      <c r="H106" s="6"/>
      <c r="K106" s="6"/>
      <c r="L106" s="6"/>
      <c r="M106" s="6"/>
      <c r="P106" s="204"/>
    </row>
    <row r="107" spans="1:16" x14ac:dyDescent="0.2">
      <c r="A107" s="84"/>
      <c r="D107" s="6"/>
      <c r="E107" s="6"/>
      <c r="F107" s="6"/>
      <c r="G107" s="6"/>
      <c r="H107" s="6"/>
      <c r="K107" s="6"/>
      <c r="L107" s="6"/>
      <c r="M107" s="6"/>
      <c r="P107" s="204"/>
    </row>
    <row r="108" spans="1:16" x14ac:dyDescent="0.2">
      <c r="A108" s="84"/>
      <c r="D108" s="6"/>
      <c r="E108" s="6"/>
      <c r="F108" s="6"/>
      <c r="G108" s="6"/>
      <c r="H108" s="6"/>
      <c r="K108" s="6"/>
      <c r="L108" s="6"/>
      <c r="M108" s="6"/>
      <c r="P108" s="204"/>
    </row>
    <row r="109" spans="1:16" x14ac:dyDescent="0.2">
      <c r="A109" s="84"/>
      <c r="D109" s="6"/>
      <c r="E109" s="6"/>
      <c r="F109" s="6"/>
      <c r="G109" s="6"/>
      <c r="H109" s="6"/>
      <c r="K109" s="6"/>
      <c r="L109" s="6"/>
      <c r="M109" s="6"/>
      <c r="P109" s="204"/>
    </row>
    <row r="110" spans="1:16" x14ac:dyDescent="0.2">
      <c r="A110" s="84"/>
      <c r="D110" s="6"/>
      <c r="E110" s="6"/>
      <c r="F110" s="6"/>
      <c r="G110" s="6"/>
      <c r="H110" s="6"/>
      <c r="K110" s="6"/>
      <c r="L110" s="6"/>
      <c r="M110" s="6"/>
      <c r="P110" s="204"/>
    </row>
    <row r="111" spans="1:16" x14ac:dyDescent="0.2">
      <c r="A111" s="84"/>
      <c r="D111" s="6"/>
      <c r="E111" s="6"/>
      <c r="F111" s="6"/>
      <c r="G111" s="6"/>
      <c r="H111" s="6"/>
      <c r="K111" s="6"/>
      <c r="L111" s="6"/>
      <c r="M111" s="6"/>
      <c r="P111" s="204"/>
    </row>
    <row r="112" spans="1:16" x14ac:dyDescent="0.2">
      <c r="A112" s="84"/>
      <c r="D112" s="6"/>
      <c r="E112" s="6"/>
      <c r="F112" s="6"/>
      <c r="G112" s="6"/>
      <c r="H112" s="6"/>
      <c r="K112" s="6"/>
      <c r="L112" s="6"/>
      <c r="M112" s="6"/>
      <c r="P112" s="204"/>
    </row>
    <row r="113" spans="1:16" x14ac:dyDescent="0.2">
      <c r="A113" s="84"/>
      <c r="D113" s="6"/>
      <c r="E113" s="6"/>
      <c r="F113" s="6"/>
      <c r="G113" s="6"/>
      <c r="H113" s="6"/>
      <c r="K113" s="6"/>
      <c r="L113" s="6"/>
      <c r="M113" s="6"/>
      <c r="P113" s="204"/>
    </row>
    <row r="114" spans="1:16" x14ac:dyDescent="0.2">
      <c r="A114" s="84"/>
      <c r="D114" s="6"/>
      <c r="E114" s="6"/>
      <c r="F114" s="6"/>
      <c r="G114" s="6"/>
      <c r="H114" s="6"/>
      <c r="K114" s="6"/>
      <c r="L114" s="6"/>
      <c r="M114" s="6"/>
      <c r="P114" s="204"/>
    </row>
    <row r="115" spans="1:16" x14ac:dyDescent="0.2">
      <c r="A115" s="84"/>
      <c r="D115" s="6"/>
      <c r="E115" s="6"/>
      <c r="F115" s="6"/>
      <c r="G115" s="6"/>
      <c r="H115" s="6"/>
      <c r="K115" s="6"/>
      <c r="L115" s="6"/>
      <c r="M115" s="6"/>
      <c r="P115" s="204"/>
    </row>
    <row r="116" spans="1:16" x14ac:dyDescent="0.2">
      <c r="A116" s="84"/>
      <c r="D116" s="6"/>
      <c r="E116" s="6"/>
      <c r="F116" s="6"/>
      <c r="G116" s="6"/>
      <c r="H116" s="6"/>
      <c r="K116" s="6"/>
      <c r="L116" s="6"/>
      <c r="M116" s="6"/>
      <c r="P116" s="204"/>
    </row>
    <row r="117" spans="1:16" x14ac:dyDescent="0.2">
      <c r="A117" s="84"/>
      <c r="D117" s="6"/>
      <c r="E117" s="6"/>
      <c r="F117" s="6"/>
      <c r="G117" s="6"/>
      <c r="H117" s="6"/>
      <c r="K117" s="6"/>
      <c r="L117" s="6"/>
      <c r="M117" s="6"/>
      <c r="P117" s="204"/>
    </row>
    <row r="118" spans="1:16" x14ac:dyDescent="0.2">
      <c r="A118" s="84"/>
      <c r="D118" s="6"/>
      <c r="E118" s="6"/>
      <c r="F118" s="6"/>
      <c r="G118" s="6"/>
      <c r="H118" s="6"/>
      <c r="K118" s="6"/>
      <c r="L118" s="6"/>
      <c r="M118" s="6"/>
      <c r="P118" s="204"/>
    </row>
    <row r="119" spans="1:16" x14ac:dyDescent="0.2">
      <c r="A119" s="84"/>
      <c r="D119" s="6"/>
      <c r="E119" s="6"/>
      <c r="F119" s="6"/>
      <c r="G119" s="6"/>
      <c r="H119" s="6"/>
      <c r="K119" s="6"/>
      <c r="L119" s="6"/>
      <c r="M119" s="6"/>
      <c r="P119" s="204"/>
    </row>
    <row r="120" spans="1:16" x14ac:dyDescent="0.2">
      <c r="A120" s="84"/>
      <c r="D120" s="6"/>
      <c r="E120" s="6"/>
      <c r="F120" s="6"/>
      <c r="G120" s="6"/>
      <c r="H120" s="6"/>
      <c r="K120" s="6"/>
      <c r="L120" s="6"/>
      <c r="M120" s="6"/>
      <c r="P120" s="204"/>
    </row>
    <row r="121" spans="1:16" x14ac:dyDescent="0.2">
      <c r="A121" s="84"/>
      <c r="D121" s="6"/>
      <c r="E121" s="6"/>
      <c r="F121" s="6"/>
      <c r="G121" s="6"/>
      <c r="H121" s="6"/>
      <c r="K121" s="6"/>
      <c r="L121" s="6"/>
      <c r="M121" s="6"/>
      <c r="P121" s="204"/>
    </row>
    <row r="122" spans="1:16" x14ac:dyDescent="0.2">
      <c r="A122" s="84"/>
      <c r="D122" s="6"/>
      <c r="E122" s="6"/>
      <c r="F122" s="6"/>
      <c r="G122" s="6"/>
      <c r="H122" s="6"/>
      <c r="K122" s="6"/>
      <c r="L122" s="6"/>
      <c r="M122" s="6"/>
      <c r="P122" s="204"/>
    </row>
    <row r="123" spans="1:16" x14ac:dyDescent="0.2">
      <c r="A123" s="84"/>
      <c r="D123" s="6"/>
      <c r="E123" s="6"/>
      <c r="F123" s="6"/>
      <c r="G123" s="6"/>
      <c r="H123" s="6"/>
      <c r="K123" s="6"/>
      <c r="L123" s="6"/>
      <c r="M123" s="6"/>
      <c r="P123" s="204"/>
    </row>
    <row r="124" spans="1:16" x14ac:dyDescent="0.2">
      <c r="A124" s="84"/>
      <c r="D124" s="6"/>
      <c r="E124" s="6"/>
      <c r="F124" s="6"/>
      <c r="G124" s="6"/>
      <c r="H124" s="6"/>
      <c r="K124" s="6"/>
      <c r="L124" s="6"/>
      <c r="M124" s="6"/>
      <c r="P124" s="204"/>
    </row>
    <row r="125" spans="1:16" x14ac:dyDescent="0.2">
      <c r="A125" s="84"/>
      <c r="D125" s="6"/>
      <c r="E125" s="6"/>
      <c r="F125" s="6"/>
      <c r="G125" s="6"/>
      <c r="H125" s="6"/>
      <c r="K125" s="6"/>
      <c r="L125" s="6"/>
      <c r="M125" s="6"/>
      <c r="P125" s="204"/>
    </row>
    <row r="126" spans="1:16" x14ac:dyDescent="0.2">
      <c r="A126" s="84"/>
      <c r="D126" s="6"/>
      <c r="E126" s="6"/>
      <c r="F126" s="6"/>
      <c r="G126" s="6"/>
      <c r="H126" s="6"/>
      <c r="K126" s="6"/>
      <c r="L126" s="6"/>
      <c r="M126" s="6"/>
      <c r="P126" s="204"/>
    </row>
    <row r="127" spans="1:16" x14ac:dyDescent="0.2">
      <c r="A127" s="84"/>
      <c r="D127" s="6"/>
      <c r="E127" s="6"/>
      <c r="F127" s="6"/>
      <c r="G127" s="6"/>
      <c r="H127" s="6"/>
      <c r="K127" s="6"/>
      <c r="L127" s="6"/>
      <c r="M127" s="6"/>
      <c r="P127" s="204"/>
    </row>
    <row r="128" spans="1:16" x14ac:dyDescent="0.2">
      <c r="A128" s="84"/>
      <c r="D128" s="6"/>
      <c r="E128" s="6"/>
      <c r="F128" s="6"/>
      <c r="G128" s="6"/>
      <c r="H128" s="6"/>
      <c r="K128" s="6"/>
      <c r="L128" s="6"/>
      <c r="M128" s="6"/>
      <c r="P128" s="204"/>
    </row>
    <row r="129" spans="1:16" x14ac:dyDescent="0.2">
      <c r="A129" s="84"/>
      <c r="D129" s="6"/>
      <c r="E129" s="6"/>
      <c r="F129" s="6"/>
      <c r="G129" s="6"/>
      <c r="H129" s="6"/>
      <c r="K129" s="6"/>
      <c r="L129" s="6"/>
      <c r="M129" s="6"/>
      <c r="P129" s="204"/>
    </row>
    <row r="130" spans="1:16" x14ac:dyDescent="0.2">
      <c r="A130" s="84"/>
      <c r="D130" s="6"/>
      <c r="E130" s="6"/>
      <c r="F130" s="6"/>
      <c r="G130" s="6"/>
      <c r="H130" s="6"/>
      <c r="K130" s="6"/>
      <c r="L130" s="6"/>
      <c r="M130" s="6"/>
      <c r="P130" s="204"/>
    </row>
    <row r="131" spans="1:16" x14ac:dyDescent="0.2">
      <c r="A131" s="84"/>
      <c r="D131" s="6"/>
      <c r="E131" s="6"/>
      <c r="F131" s="6"/>
      <c r="G131" s="6"/>
      <c r="H131" s="6"/>
      <c r="K131" s="6"/>
      <c r="L131" s="6"/>
      <c r="M131" s="6"/>
      <c r="P131" s="204"/>
    </row>
    <row r="132" spans="1:16" x14ac:dyDescent="0.2">
      <c r="A132" s="84"/>
      <c r="D132" s="6"/>
      <c r="E132" s="6"/>
      <c r="F132" s="6"/>
      <c r="G132" s="6"/>
      <c r="H132" s="6"/>
      <c r="K132" s="6"/>
      <c r="L132" s="6"/>
      <c r="M132" s="6"/>
      <c r="P132" s="204"/>
    </row>
    <row r="133" spans="1:16" x14ac:dyDescent="0.2">
      <c r="A133" s="84"/>
      <c r="D133" s="6"/>
      <c r="E133" s="6"/>
      <c r="F133" s="6"/>
      <c r="G133" s="6"/>
      <c r="H133" s="6"/>
      <c r="K133" s="6"/>
      <c r="L133" s="6"/>
      <c r="M133" s="6"/>
      <c r="P133" s="204"/>
    </row>
    <row r="134" spans="1:16" x14ac:dyDescent="0.2">
      <c r="A134" s="84"/>
      <c r="D134" s="6"/>
      <c r="E134" s="6"/>
      <c r="F134" s="6"/>
      <c r="G134" s="6"/>
      <c r="H134" s="6"/>
      <c r="K134" s="6"/>
      <c r="L134" s="6"/>
      <c r="M134" s="6"/>
      <c r="P134" s="204"/>
    </row>
    <row r="135" spans="1:16" x14ac:dyDescent="0.2">
      <c r="A135" s="84"/>
      <c r="D135" s="6"/>
      <c r="E135" s="6"/>
      <c r="F135" s="6"/>
      <c r="G135" s="6"/>
      <c r="H135" s="6"/>
      <c r="K135" s="6"/>
      <c r="L135" s="6"/>
      <c r="M135" s="6"/>
      <c r="P135" s="204"/>
    </row>
    <row r="136" spans="1:16" x14ac:dyDescent="0.2">
      <c r="A136" s="84"/>
      <c r="D136" s="6"/>
      <c r="E136" s="6"/>
      <c r="F136" s="6"/>
      <c r="G136" s="6"/>
      <c r="H136" s="6"/>
      <c r="K136" s="6"/>
      <c r="L136" s="6"/>
      <c r="M136" s="6"/>
      <c r="P136" s="204"/>
    </row>
    <row r="137" spans="1:16" x14ac:dyDescent="0.2">
      <c r="A137" s="84"/>
      <c r="D137" s="6"/>
      <c r="E137" s="6"/>
      <c r="F137" s="6"/>
      <c r="G137" s="6"/>
      <c r="H137" s="6"/>
      <c r="K137" s="6"/>
      <c r="L137" s="6"/>
      <c r="M137" s="6"/>
      <c r="P137" s="204"/>
    </row>
    <row r="138" spans="1:16" x14ac:dyDescent="0.2">
      <c r="A138" s="84"/>
      <c r="D138" s="6"/>
      <c r="E138" s="6"/>
      <c r="F138" s="6"/>
      <c r="G138" s="6"/>
      <c r="H138" s="6"/>
      <c r="K138" s="6"/>
      <c r="L138" s="6"/>
      <c r="M138" s="6"/>
      <c r="P138" s="204"/>
    </row>
    <row r="139" spans="1:16" x14ac:dyDescent="0.2">
      <c r="A139" s="84"/>
      <c r="D139" s="6"/>
      <c r="E139" s="6"/>
      <c r="F139" s="6"/>
      <c r="G139" s="6"/>
      <c r="H139" s="6"/>
      <c r="K139" s="6"/>
      <c r="L139" s="6"/>
      <c r="M139" s="6"/>
      <c r="P139" s="204"/>
    </row>
    <row r="140" spans="1:16" x14ac:dyDescent="0.2">
      <c r="A140" s="84"/>
      <c r="D140" s="6"/>
      <c r="E140" s="6"/>
      <c r="F140" s="6"/>
      <c r="G140" s="6"/>
      <c r="H140" s="6"/>
      <c r="K140" s="6"/>
      <c r="L140" s="6"/>
      <c r="M140" s="6"/>
      <c r="P140" s="204"/>
    </row>
    <row r="141" spans="1:16" x14ac:dyDescent="0.2">
      <c r="A141" s="84"/>
      <c r="D141" s="6"/>
      <c r="E141" s="6"/>
      <c r="F141" s="6"/>
      <c r="G141" s="6"/>
      <c r="H141" s="6"/>
      <c r="K141" s="6"/>
      <c r="L141" s="6"/>
      <c r="M141" s="6"/>
      <c r="P141" s="204"/>
    </row>
    <row r="142" spans="1:16" x14ac:dyDescent="0.2">
      <c r="A142" s="84"/>
      <c r="D142" s="6"/>
      <c r="E142" s="6"/>
      <c r="F142" s="6"/>
      <c r="G142" s="6"/>
      <c r="H142" s="6"/>
      <c r="K142" s="6"/>
      <c r="L142" s="6"/>
      <c r="M142" s="6"/>
      <c r="P142" s="204"/>
    </row>
    <row r="143" spans="1:16" x14ac:dyDescent="0.2">
      <c r="A143" s="84"/>
      <c r="D143" s="6"/>
      <c r="E143" s="6"/>
      <c r="F143" s="6"/>
      <c r="G143" s="6"/>
      <c r="H143" s="6"/>
      <c r="K143" s="6"/>
      <c r="L143" s="6"/>
      <c r="M143" s="6"/>
      <c r="P143" s="204"/>
    </row>
    <row r="144" spans="1:16" x14ac:dyDescent="0.2">
      <c r="A144" s="84"/>
      <c r="D144" s="6"/>
      <c r="E144" s="6"/>
      <c r="F144" s="6"/>
      <c r="G144" s="6"/>
      <c r="H144" s="6"/>
      <c r="K144" s="6"/>
      <c r="L144" s="6"/>
      <c r="M144" s="6"/>
      <c r="P144" s="204"/>
    </row>
    <row r="145" spans="1:16" x14ac:dyDescent="0.2">
      <c r="A145" s="84"/>
      <c r="D145" s="6"/>
      <c r="E145" s="6"/>
      <c r="F145" s="6"/>
      <c r="G145" s="6"/>
      <c r="H145" s="6"/>
      <c r="K145" s="6"/>
      <c r="L145" s="6"/>
      <c r="M145" s="6"/>
      <c r="P145" s="204"/>
    </row>
    <row r="146" spans="1:16" x14ac:dyDescent="0.2">
      <c r="A146" s="84"/>
      <c r="D146" s="6"/>
      <c r="E146" s="6"/>
      <c r="F146" s="6"/>
      <c r="G146" s="6"/>
      <c r="H146" s="6"/>
      <c r="K146" s="6"/>
      <c r="L146" s="6"/>
      <c r="M146" s="6"/>
      <c r="P146" s="204"/>
    </row>
    <row r="147" spans="1:16" x14ac:dyDescent="0.2">
      <c r="A147" s="84"/>
      <c r="D147" s="6"/>
      <c r="E147" s="6"/>
      <c r="F147" s="6"/>
      <c r="G147" s="6"/>
      <c r="H147" s="6"/>
      <c r="K147" s="6"/>
      <c r="L147" s="6"/>
      <c r="M147" s="6"/>
      <c r="P147" s="204"/>
    </row>
    <row r="148" spans="1:16" x14ac:dyDescent="0.2">
      <c r="A148" s="84"/>
      <c r="D148" s="6"/>
      <c r="E148" s="6"/>
      <c r="F148" s="6"/>
      <c r="G148" s="6"/>
      <c r="H148" s="6"/>
      <c r="K148" s="6"/>
      <c r="L148" s="6"/>
      <c r="M148" s="6"/>
      <c r="P148" s="204"/>
    </row>
    <row r="149" spans="1:16" x14ac:dyDescent="0.2">
      <c r="A149" s="84"/>
      <c r="D149" s="6"/>
      <c r="E149" s="6"/>
      <c r="F149" s="6"/>
      <c r="G149" s="6"/>
      <c r="H149" s="6"/>
      <c r="K149" s="6"/>
      <c r="L149" s="6"/>
      <c r="M149" s="6"/>
      <c r="P149" s="204"/>
    </row>
    <row r="150" spans="1:16" x14ac:dyDescent="0.2">
      <c r="A150" s="84"/>
      <c r="D150" s="6"/>
      <c r="E150" s="6"/>
      <c r="F150" s="6"/>
      <c r="G150" s="6"/>
      <c r="H150" s="6"/>
      <c r="K150" s="6"/>
      <c r="L150" s="6"/>
      <c r="M150" s="6"/>
      <c r="P150" s="204"/>
    </row>
    <row r="151" spans="1:16" x14ac:dyDescent="0.2">
      <c r="A151" s="84"/>
      <c r="D151" s="6"/>
      <c r="E151" s="6"/>
      <c r="F151" s="6"/>
      <c r="G151" s="6"/>
      <c r="H151" s="6"/>
      <c r="K151" s="6"/>
      <c r="L151" s="6"/>
      <c r="M151" s="6"/>
      <c r="P151" s="204"/>
    </row>
    <row r="152" spans="1:16" x14ac:dyDescent="0.2">
      <c r="A152" s="84"/>
      <c r="D152" s="6"/>
      <c r="E152" s="6"/>
      <c r="F152" s="6"/>
      <c r="G152" s="6"/>
      <c r="H152" s="6"/>
      <c r="K152" s="6"/>
      <c r="L152" s="6"/>
      <c r="M152" s="6"/>
      <c r="P152" s="204"/>
    </row>
    <row r="153" spans="1:16" x14ac:dyDescent="0.2">
      <c r="A153" s="84"/>
      <c r="D153" s="6"/>
      <c r="E153" s="6"/>
      <c r="F153" s="6"/>
      <c r="G153" s="6"/>
      <c r="H153" s="6"/>
      <c r="K153" s="6"/>
      <c r="L153" s="6"/>
      <c r="M153" s="6"/>
      <c r="P153" s="204"/>
    </row>
    <row r="154" spans="1:16" x14ac:dyDescent="0.2">
      <c r="A154" s="84"/>
      <c r="D154" s="6"/>
      <c r="E154" s="6"/>
      <c r="F154" s="6"/>
      <c r="G154" s="6"/>
      <c r="H154" s="6"/>
      <c r="K154" s="6"/>
      <c r="L154" s="6"/>
      <c r="M154" s="6"/>
      <c r="P154" s="204"/>
    </row>
    <row r="155" spans="1:16" x14ac:dyDescent="0.2">
      <c r="A155" s="84"/>
      <c r="D155" s="6"/>
      <c r="E155" s="6"/>
      <c r="F155" s="6"/>
      <c r="G155" s="6"/>
      <c r="H155" s="6"/>
      <c r="K155" s="6"/>
      <c r="L155" s="6"/>
      <c r="M155" s="6"/>
      <c r="P155" s="204"/>
    </row>
    <row r="156" spans="1:16" x14ac:dyDescent="0.2">
      <c r="A156" s="84"/>
      <c r="D156" s="6"/>
      <c r="E156" s="6"/>
      <c r="F156" s="6"/>
      <c r="G156" s="6"/>
      <c r="H156" s="6"/>
      <c r="K156" s="6"/>
      <c r="L156" s="6"/>
      <c r="M156" s="6"/>
      <c r="P156" s="204"/>
    </row>
    <row r="157" spans="1:16" x14ac:dyDescent="0.2">
      <c r="A157" s="84"/>
      <c r="D157" s="6"/>
      <c r="E157" s="6"/>
      <c r="F157" s="6"/>
      <c r="G157" s="6"/>
      <c r="H157" s="6"/>
      <c r="K157" s="6"/>
      <c r="L157" s="6"/>
      <c r="M157" s="6"/>
      <c r="P157" s="204"/>
    </row>
    <row r="158" spans="1:16" x14ac:dyDescent="0.2">
      <c r="A158" s="84"/>
      <c r="D158" s="6"/>
      <c r="E158" s="6"/>
      <c r="F158" s="6"/>
      <c r="G158" s="6"/>
      <c r="H158" s="6"/>
      <c r="K158" s="6"/>
      <c r="L158" s="6"/>
      <c r="M158" s="6"/>
      <c r="P158" s="204"/>
    </row>
    <row r="159" spans="1:16" x14ac:dyDescent="0.2">
      <c r="A159" s="84"/>
      <c r="D159" s="6"/>
      <c r="E159" s="6"/>
      <c r="F159" s="6"/>
      <c r="G159" s="6"/>
      <c r="H159" s="6"/>
      <c r="K159" s="6"/>
      <c r="L159" s="6"/>
      <c r="M159" s="6"/>
      <c r="P159" s="204"/>
    </row>
    <row r="160" spans="1:16" x14ac:dyDescent="0.2">
      <c r="A160" s="84"/>
      <c r="D160" s="6"/>
      <c r="E160" s="6"/>
      <c r="F160" s="6"/>
      <c r="G160" s="6"/>
      <c r="H160" s="6"/>
      <c r="K160" s="6"/>
      <c r="L160" s="6"/>
      <c r="M160" s="6"/>
      <c r="P160" s="204"/>
    </row>
    <row r="161" spans="1:16" x14ac:dyDescent="0.2">
      <c r="A161" s="84"/>
      <c r="D161" s="6"/>
      <c r="E161" s="6"/>
      <c r="F161" s="6"/>
      <c r="G161" s="6"/>
      <c r="H161" s="6"/>
      <c r="K161" s="6"/>
      <c r="L161" s="6"/>
      <c r="M161" s="6"/>
      <c r="P161" s="204"/>
    </row>
    <row r="162" spans="1:16" x14ac:dyDescent="0.2">
      <c r="A162" s="84"/>
      <c r="D162" s="6"/>
      <c r="E162" s="6"/>
      <c r="F162" s="6"/>
      <c r="G162" s="6"/>
      <c r="H162" s="6"/>
      <c r="K162" s="6"/>
      <c r="L162" s="6"/>
      <c r="M162" s="6"/>
      <c r="P162" s="204"/>
    </row>
    <row r="163" spans="1:16" x14ac:dyDescent="0.2">
      <c r="A163" s="84"/>
      <c r="D163" s="6"/>
      <c r="E163" s="6"/>
      <c r="F163" s="6"/>
      <c r="G163" s="6"/>
      <c r="H163" s="6"/>
      <c r="K163" s="6"/>
      <c r="L163" s="6"/>
      <c r="M163" s="6"/>
      <c r="P163" s="204"/>
    </row>
    <row r="164" spans="1:16" x14ac:dyDescent="0.2">
      <c r="A164" s="84"/>
      <c r="D164" s="6"/>
      <c r="E164" s="6"/>
      <c r="F164" s="6"/>
      <c r="G164" s="6"/>
      <c r="H164" s="6"/>
      <c r="K164" s="6"/>
      <c r="L164" s="6"/>
      <c r="M164" s="6"/>
      <c r="P164" s="204"/>
    </row>
    <row r="165" spans="1:16" x14ac:dyDescent="0.2">
      <c r="A165" s="84"/>
      <c r="D165" s="6"/>
      <c r="E165" s="6"/>
      <c r="F165" s="6"/>
      <c r="G165" s="6"/>
      <c r="H165" s="6"/>
      <c r="K165" s="6"/>
      <c r="L165" s="6"/>
      <c r="M165" s="6"/>
      <c r="P165" s="204"/>
    </row>
    <row r="166" spans="1:16" x14ac:dyDescent="0.2">
      <c r="A166" s="84"/>
      <c r="D166" s="6"/>
      <c r="E166" s="6"/>
      <c r="F166" s="6"/>
      <c r="G166" s="6"/>
      <c r="H166" s="6"/>
      <c r="K166" s="6"/>
      <c r="L166" s="6"/>
      <c r="M166" s="6"/>
      <c r="P166" s="204"/>
    </row>
    <row r="167" spans="1:16" x14ac:dyDescent="0.2">
      <c r="A167" s="84"/>
      <c r="D167" s="6"/>
      <c r="E167" s="6"/>
      <c r="F167" s="6"/>
      <c r="G167" s="6"/>
      <c r="H167" s="6"/>
      <c r="K167" s="6"/>
      <c r="L167" s="6"/>
      <c r="M167" s="6"/>
      <c r="P167" s="204"/>
    </row>
    <row r="168" spans="1:16" x14ac:dyDescent="0.2">
      <c r="A168" s="84"/>
      <c r="D168" s="6"/>
      <c r="E168" s="6"/>
      <c r="F168" s="6"/>
      <c r="G168" s="6"/>
      <c r="H168" s="6"/>
      <c r="K168" s="6"/>
      <c r="L168" s="6"/>
      <c r="M168" s="6"/>
      <c r="P168" s="204"/>
    </row>
    <row r="169" spans="1:16" x14ac:dyDescent="0.2">
      <c r="A169" s="84"/>
      <c r="D169" s="6"/>
      <c r="E169" s="6"/>
      <c r="F169" s="6"/>
      <c r="G169" s="6"/>
      <c r="H169" s="6"/>
      <c r="K169" s="6"/>
      <c r="L169" s="6"/>
      <c r="M169" s="6"/>
      <c r="P169" s="204"/>
    </row>
    <row r="170" spans="1:16" x14ac:dyDescent="0.2">
      <c r="A170" s="84"/>
      <c r="D170" s="6"/>
      <c r="E170" s="6"/>
      <c r="F170" s="6"/>
      <c r="G170" s="6"/>
      <c r="H170" s="6"/>
      <c r="K170" s="6"/>
      <c r="L170" s="6"/>
      <c r="M170" s="6"/>
      <c r="P170" s="204"/>
    </row>
    <row r="171" spans="1:16" x14ac:dyDescent="0.2">
      <c r="A171" s="84"/>
      <c r="D171" s="6"/>
      <c r="E171" s="6"/>
      <c r="F171" s="6"/>
      <c r="G171" s="6"/>
      <c r="H171" s="6"/>
      <c r="K171" s="6"/>
      <c r="L171" s="6"/>
      <c r="M171" s="6"/>
      <c r="P171" s="204"/>
    </row>
    <row r="172" spans="1:16" x14ac:dyDescent="0.2">
      <c r="A172" s="84"/>
      <c r="D172" s="6"/>
      <c r="E172" s="6"/>
      <c r="F172" s="6"/>
      <c r="G172" s="6"/>
      <c r="H172" s="6"/>
      <c r="K172" s="6"/>
      <c r="L172" s="6"/>
      <c r="M172" s="6"/>
      <c r="P172" s="204"/>
    </row>
    <row r="173" spans="1:16" x14ac:dyDescent="0.2">
      <c r="A173" s="84"/>
      <c r="D173" s="6"/>
      <c r="E173" s="6"/>
      <c r="F173" s="6"/>
      <c r="G173" s="6"/>
      <c r="H173" s="6"/>
      <c r="K173" s="6"/>
      <c r="L173" s="6"/>
      <c r="M173" s="6"/>
      <c r="P173" s="204"/>
    </row>
    <row r="174" spans="1:16" x14ac:dyDescent="0.2">
      <c r="A174" s="84"/>
      <c r="D174" s="6"/>
      <c r="E174" s="6"/>
      <c r="F174" s="6"/>
      <c r="G174" s="6"/>
      <c r="H174" s="6"/>
      <c r="K174" s="6"/>
      <c r="L174" s="6"/>
      <c r="M174" s="6"/>
      <c r="P174" s="204"/>
    </row>
    <row r="175" spans="1:16" x14ac:dyDescent="0.2">
      <c r="A175" s="84"/>
      <c r="D175" s="6"/>
      <c r="E175" s="6"/>
      <c r="F175" s="6"/>
      <c r="G175" s="6"/>
      <c r="H175" s="6"/>
      <c r="K175" s="6"/>
      <c r="L175" s="6"/>
      <c r="M175" s="6"/>
      <c r="P175" s="204"/>
    </row>
    <row r="176" spans="1:16" x14ac:dyDescent="0.2">
      <c r="A176" s="84"/>
      <c r="D176" s="6"/>
      <c r="E176" s="6"/>
      <c r="F176" s="6"/>
      <c r="G176" s="6"/>
      <c r="H176" s="6"/>
      <c r="K176" s="6"/>
      <c r="L176" s="6"/>
      <c r="M176" s="6"/>
      <c r="P176" s="204"/>
    </row>
    <row r="177" spans="1:16" x14ac:dyDescent="0.2">
      <c r="A177" s="84"/>
      <c r="D177" s="6"/>
      <c r="E177" s="6"/>
      <c r="F177" s="6"/>
      <c r="G177" s="6"/>
      <c r="H177" s="6"/>
      <c r="K177" s="6"/>
      <c r="L177" s="6"/>
      <c r="M177" s="6"/>
      <c r="P177" s="204"/>
    </row>
    <row r="178" spans="1:16" x14ac:dyDescent="0.2">
      <c r="A178" s="84"/>
      <c r="D178" s="6"/>
      <c r="E178" s="6"/>
      <c r="F178" s="6"/>
      <c r="G178" s="6"/>
      <c r="H178" s="6"/>
      <c r="K178" s="6"/>
      <c r="L178" s="6"/>
      <c r="M178" s="6"/>
      <c r="P178" s="204"/>
    </row>
    <row r="179" spans="1:16" x14ac:dyDescent="0.2">
      <c r="A179" s="84"/>
      <c r="D179" s="6"/>
      <c r="E179" s="6"/>
      <c r="F179" s="6"/>
      <c r="G179" s="6"/>
      <c r="H179" s="6"/>
      <c r="K179" s="6"/>
      <c r="L179" s="6"/>
      <c r="M179" s="6"/>
      <c r="P179" s="204"/>
    </row>
    <row r="180" spans="1:16" x14ac:dyDescent="0.2">
      <c r="A180" s="84"/>
      <c r="D180" s="6"/>
      <c r="E180" s="6"/>
      <c r="F180" s="6"/>
      <c r="G180" s="6"/>
      <c r="H180" s="6"/>
      <c r="K180" s="6"/>
      <c r="L180" s="6"/>
      <c r="M180" s="6"/>
      <c r="P180" s="204"/>
    </row>
    <row r="181" spans="1:16" x14ac:dyDescent="0.2">
      <c r="A181" s="84"/>
      <c r="D181" s="6"/>
      <c r="E181" s="6"/>
      <c r="F181" s="6"/>
      <c r="G181" s="6"/>
      <c r="H181" s="6"/>
      <c r="K181" s="6"/>
      <c r="L181" s="6"/>
      <c r="M181" s="6"/>
      <c r="P181" s="204"/>
    </row>
    <row r="182" spans="1:16" x14ac:dyDescent="0.2">
      <c r="A182" s="84"/>
      <c r="D182" s="6"/>
      <c r="E182" s="6"/>
      <c r="F182" s="6"/>
      <c r="G182" s="6"/>
      <c r="H182" s="6"/>
      <c r="K182" s="6"/>
      <c r="L182" s="6"/>
      <c r="M182" s="6"/>
      <c r="P182" s="204"/>
    </row>
    <row r="183" spans="1:16" x14ac:dyDescent="0.2">
      <c r="A183" s="84"/>
      <c r="D183" s="6"/>
      <c r="E183" s="6"/>
      <c r="F183" s="6"/>
      <c r="G183" s="6"/>
      <c r="H183" s="6"/>
      <c r="K183" s="6"/>
      <c r="L183" s="6"/>
      <c r="M183" s="6"/>
      <c r="P183" s="204"/>
    </row>
    <row r="184" spans="1:16" x14ac:dyDescent="0.2">
      <c r="A184" s="84"/>
      <c r="D184" s="6"/>
      <c r="E184" s="6"/>
      <c r="F184" s="6"/>
      <c r="G184" s="6"/>
      <c r="H184" s="6"/>
      <c r="K184" s="6"/>
      <c r="L184" s="6"/>
      <c r="M184" s="6"/>
      <c r="P184" s="204"/>
    </row>
    <row r="185" spans="1:16" x14ac:dyDescent="0.2">
      <c r="A185" s="84"/>
      <c r="D185" s="6"/>
      <c r="E185" s="6"/>
      <c r="F185" s="6"/>
      <c r="G185" s="6"/>
      <c r="H185" s="6"/>
      <c r="K185" s="6"/>
      <c r="L185" s="6"/>
      <c r="M185" s="6"/>
      <c r="P185" s="204"/>
    </row>
    <row r="186" spans="1:16" x14ac:dyDescent="0.2">
      <c r="A186" s="84"/>
      <c r="D186" s="6"/>
      <c r="E186" s="6"/>
      <c r="F186" s="6"/>
      <c r="G186" s="6"/>
      <c r="H186" s="6"/>
      <c r="K186" s="6"/>
      <c r="L186" s="6"/>
      <c r="M186" s="6"/>
      <c r="P186" s="204"/>
    </row>
    <row r="187" spans="1:16" x14ac:dyDescent="0.2">
      <c r="A187" s="84"/>
      <c r="D187" s="6"/>
      <c r="E187" s="6"/>
      <c r="F187" s="6"/>
      <c r="G187" s="6"/>
      <c r="H187" s="6"/>
      <c r="K187" s="6"/>
      <c r="L187" s="6"/>
      <c r="M187" s="6"/>
      <c r="P187" s="204"/>
    </row>
    <row r="188" spans="1:16" x14ac:dyDescent="0.2">
      <c r="A188" s="84"/>
      <c r="D188" s="6"/>
      <c r="E188" s="6"/>
      <c r="F188" s="6"/>
      <c r="G188" s="6"/>
      <c r="H188" s="6"/>
      <c r="K188" s="6"/>
      <c r="L188" s="6"/>
      <c r="M188" s="6"/>
      <c r="P188" s="204"/>
    </row>
    <row r="189" spans="1:16" x14ac:dyDescent="0.2">
      <c r="A189" s="84"/>
      <c r="D189" s="6"/>
      <c r="E189" s="6"/>
      <c r="F189" s="6"/>
      <c r="G189" s="6"/>
      <c r="H189" s="6"/>
      <c r="K189" s="6"/>
      <c r="L189" s="6"/>
      <c r="M189" s="6"/>
      <c r="P189" s="204"/>
    </row>
    <row r="190" spans="1:16" x14ac:dyDescent="0.2">
      <c r="A190" s="84"/>
      <c r="D190" s="6"/>
      <c r="E190" s="6"/>
      <c r="F190" s="6"/>
      <c r="G190" s="6"/>
      <c r="H190" s="6"/>
      <c r="K190" s="6"/>
      <c r="L190" s="6"/>
      <c r="M190" s="6"/>
      <c r="P190" s="204"/>
    </row>
    <row r="191" spans="1:16" x14ac:dyDescent="0.2">
      <c r="A191" s="84"/>
      <c r="D191" s="6"/>
      <c r="E191" s="6"/>
      <c r="F191" s="6"/>
      <c r="G191" s="6"/>
      <c r="H191" s="6"/>
      <c r="K191" s="6"/>
      <c r="L191" s="6"/>
      <c r="M191" s="6"/>
      <c r="P191" s="204"/>
    </row>
    <row r="192" spans="1:16" x14ac:dyDescent="0.2">
      <c r="A192" s="84"/>
      <c r="D192" s="6"/>
      <c r="E192" s="6"/>
      <c r="F192" s="6"/>
      <c r="G192" s="6"/>
      <c r="H192" s="6"/>
      <c r="K192" s="6"/>
      <c r="L192" s="6"/>
      <c r="M192" s="6"/>
      <c r="P192" s="204"/>
    </row>
    <row r="193" spans="1:16" x14ac:dyDescent="0.2">
      <c r="A193" s="84"/>
      <c r="D193" s="6"/>
      <c r="E193" s="6"/>
      <c r="F193" s="6"/>
      <c r="G193" s="6"/>
      <c r="H193" s="6"/>
      <c r="K193" s="6"/>
      <c r="L193" s="6"/>
      <c r="M193" s="6"/>
      <c r="P193" s="204"/>
    </row>
    <row r="194" spans="1:16" x14ac:dyDescent="0.2">
      <c r="A194" s="84"/>
      <c r="D194" s="6"/>
      <c r="E194" s="6"/>
      <c r="F194" s="6"/>
      <c r="G194" s="6"/>
      <c r="H194" s="6"/>
      <c r="K194" s="6"/>
      <c r="L194" s="6"/>
      <c r="M194" s="6"/>
      <c r="P194" s="204"/>
    </row>
    <row r="195" spans="1:16" x14ac:dyDescent="0.2">
      <c r="A195" s="84"/>
      <c r="D195" s="6"/>
      <c r="E195" s="6"/>
      <c r="F195" s="6"/>
      <c r="G195" s="6"/>
      <c r="H195" s="6"/>
      <c r="K195" s="6"/>
      <c r="L195" s="6"/>
      <c r="M195" s="6"/>
      <c r="P195" s="204"/>
    </row>
    <row r="196" spans="1:16" x14ac:dyDescent="0.2">
      <c r="A196" s="84"/>
      <c r="D196" s="6"/>
      <c r="E196" s="6"/>
      <c r="F196" s="6"/>
      <c r="G196" s="6"/>
      <c r="H196" s="6"/>
      <c r="K196" s="6"/>
      <c r="L196" s="6"/>
      <c r="M196" s="6"/>
      <c r="P196" s="204"/>
    </row>
    <row r="197" spans="1:16" x14ac:dyDescent="0.2">
      <c r="A197" s="84"/>
      <c r="D197" s="6"/>
      <c r="E197" s="6"/>
      <c r="F197" s="6"/>
      <c r="G197" s="6"/>
      <c r="H197" s="6"/>
      <c r="K197" s="6"/>
      <c r="L197" s="6"/>
      <c r="M197" s="6"/>
      <c r="P197" s="204"/>
    </row>
    <row r="198" spans="1:16" x14ac:dyDescent="0.2">
      <c r="A198" s="30"/>
      <c r="B198" s="26"/>
      <c r="C198" s="26"/>
      <c r="D198" s="26"/>
      <c r="E198" s="26"/>
      <c r="F198" s="26"/>
      <c r="G198" s="26"/>
      <c r="H198" s="26"/>
      <c r="I198" s="26"/>
      <c r="J198" s="204"/>
      <c r="K198" s="204"/>
      <c r="L198" s="204"/>
      <c r="M198" s="204"/>
      <c r="N198" s="204"/>
      <c r="O198" s="204"/>
      <c r="P198" s="204"/>
    </row>
  </sheetData>
  <mergeCells count="1">
    <mergeCell ref="B44:O44"/>
  </mergeCells>
  <phoneticPr fontId="1" type="noConversion"/>
  <printOptions horizontalCentered="1"/>
  <pageMargins left="0.7" right="0.7" top="0.75" bottom="0.75" header="0.3" footer="0.3"/>
  <pageSetup scale="84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79998168889431442"/>
  </sheetPr>
  <dimension ref="A1:H172"/>
  <sheetViews>
    <sheetView workbookViewId="0">
      <pane ySplit="8" topLeftCell="A9" activePane="bottomLeft" state="frozen"/>
      <selection pane="bottomLeft"/>
    </sheetView>
  </sheetViews>
  <sheetFormatPr defaultColWidth="8.85546875" defaultRowHeight="11.25" x14ac:dyDescent="0.2"/>
  <cols>
    <col min="1" max="1" width="6.7109375" style="77" bestFit="1" customWidth="1"/>
    <col min="2" max="2" width="20.140625" style="26" customWidth="1"/>
    <col min="3" max="3" width="16.42578125" style="26" customWidth="1"/>
    <col min="4" max="4" width="16.7109375" style="26" customWidth="1"/>
    <col min="5" max="5" width="15" style="26" customWidth="1"/>
    <col min="6" max="6" width="11.42578125" style="30" customWidth="1"/>
    <col min="7" max="7" width="8.85546875" style="26" customWidth="1"/>
    <col min="8" max="8" width="12.28515625" style="26" customWidth="1"/>
    <col min="9" max="16384" width="8.85546875" style="26"/>
  </cols>
  <sheetData>
    <row r="1" spans="1:8" s="21" customFormat="1" x14ac:dyDescent="0.2">
      <c r="A1" s="70" t="s">
        <v>104</v>
      </c>
      <c r="B1" s="51"/>
      <c r="C1" s="51"/>
      <c r="D1" s="51"/>
      <c r="E1" s="51"/>
      <c r="F1" s="51"/>
      <c r="G1" s="51"/>
      <c r="H1" s="51"/>
    </row>
    <row r="2" spans="1:8" s="21" customFormat="1" x14ac:dyDescent="0.2">
      <c r="A2" s="70" t="s">
        <v>115</v>
      </c>
      <c r="B2" s="51"/>
      <c r="C2" s="51"/>
      <c r="D2" s="51"/>
      <c r="E2" s="51"/>
      <c r="F2" s="51"/>
      <c r="G2" s="51"/>
      <c r="H2" s="51"/>
    </row>
    <row r="3" spans="1:8" s="21" customFormat="1" x14ac:dyDescent="0.2">
      <c r="A3" s="71" t="str">
        <f>Inputs!B2&amp;" Forecasted Rate-Year Ended "&amp;TEXT(Inputs!B4,"mmmm d, yyyy")</f>
        <v>F2023 Forecasted Rate-Year Ended April 30, 2025</v>
      </c>
      <c r="B3" s="51"/>
      <c r="C3" s="51"/>
      <c r="D3" s="51"/>
      <c r="E3" s="51"/>
      <c r="F3" s="51"/>
      <c r="G3" s="51"/>
      <c r="H3" s="51"/>
    </row>
    <row r="4" spans="1:8" s="21" customFormat="1" x14ac:dyDescent="0.2">
      <c r="A4" s="71" t="str">
        <f>"Proposed Rate Effective "&amp;TEXT(Inputs!B1,"mmmm d, yyyy")</f>
        <v>Proposed Rate Effective May 1, 2024</v>
      </c>
      <c r="B4" s="51"/>
      <c r="C4" s="51"/>
      <c r="D4" s="51"/>
      <c r="E4" s="51"/>
      <c r="F4" s="51"/>
      <c r="G4" s="51"/>
      <c r="H4" s="51"/>
    </row>
    <row r="5" spans="1:8" s="21" customFormat="1" x14ac:dyDescent="0.2">
      <c r="A5" s="70" t="s">
        <v>112</v>
      </c>
      <c r="B5" s="51"/>
      <c r="C5" s="51"/>
      <c r="D5" s="51"/>
      <c r="E5" s="51"/>
      <c r="F5" s="51"/>
      <c r="G5" s="51"/>
      <c r="H5" s="51"/>
    </row>
    <row r="6" spans="1:8" s="41" customFormat="1" x14ac:dyDescent="0.2">
      <c r="A6" s="61"/>
      <c r="B6" s="75"/>
      <c r="C6" s="75"/>
      <c r="D6" s="75"/>
      <c r="E6" s="75"/>
      <c r="F6" s="78"/>
    </row>
    <row r="7" spans="1:8" s="61" customFormat="1" ht="45" x14ac:dyDescent="0.2">
      <c r="A7" s="42" t="s">
        <v>23</v>
      </c>
      <c r="B7" s="42" t="s">
        <v>14</v>
      </c>
      <c r="C7" s="42" t="s">
        <v>15</v>
      </c>
      <c r="D7" s="42" t="s">
        <v>28</v>
      </c>
      <c r="E7" s="237" t="s">
        <v>131</v>
      </c>
      <c r="F7" s="238" t="s">
        <v>126</v>
      </c>
      <c r="G7" s="238" t="s">
        <v>127</v>
      </c>
      <c r="H7" s="238" t="s">
        <v>128</v>
      </c>
    </row>
    <row r="8" spans="1:8" s="73" customFormat="1" x14ac:dyDescent="0.2">
      <c r="A8" s="80"/>
      <c r="B8" s="239" t="s">
        <v>18</v>
      </c>
      <c r="C8" s="239" t="s">
        <v>19</v>
      </c>
      <c r="D8" s="240" t="s">
        <v>20</v>
      </c>
      <c r="E8" s="241" t="s">
        <v>21</v>
      </c>
      <c r="F8" s="240" t="s">
        <v>133</v>
      </c>
      <c r="G8" s="240" t="s">
        <v>132</v>
      </c>
      <c r="H8" s="240" t="s">
        <v>202</v>
      </c>
    </row>
    <row r="9" spans="1:8" x14ac:dyDescent="0.2">
      <c r="A9" s="27">
        <v>1</v>
      </c>
      <c r="B9" s="28"/>
      <c r="C9" s="28"/>
      <c r="D9" s="29"/>
      <c r="F9" s="79"/>
      <c r="G9" s="74"/>
      <c r="H9" s="76"/>
    </row>
    <row r="10" spans="1:8" ht="13.5" x14ac:dyDescent="0.35">
      <c r="A10" s="27">
        <f t="shared" ref="A10:A41" si="0">+A9+1</f>
        <v>2</v>
      </c>
      <c r="B10" s="67" t="s">
        <v>120</v>
      </c>
      <c r="C10" s="30"/>
      <c r="D10" s="30"/>
      <c r="E10" s="6"/>
    </row>
    <row r="11" spans="1:8" x14ac:dyDescent="0.2">
      <c r="A11" s="27">
        <f t="shared" si="0"/>
        <v>3</v>
      </c>
      <c r="B11" s="32" t="s">
        <v>29</v>
      </c>
      <c r="C11" s="31" t="s">
        <v>30</v>
      </c>
      <c r="D11" s="110">
        <v>22</v>
      </c>
      <c r="E11" s="242">
        <f>'[1]Sch 120 Street &amp; Area Lighting'!G25</f>
        <v>0.5</v>
      </c>
      <c r="F11" s="243">
        <f>E11*$H$168</f>
        <v>2.3284931408487385E-2</v>
      </c>
      <c r="G11" s="244">
        <f>'[2]Lamp Inventory Pivot'!$D$5</f>
        <v>649</v>
      </c>
      <c r="H11" s="245">
        <f>F11*G11</f>
        <v>15.111920484108312</v>
      </c>
    </row>
    <row r="12" spans="1:8" x14ac:dyDescent="0.2">
      <c r="A12" s="27">
        <f t="shared" si="0"/>
        <v>4</v>
      </c>
      <c r="B12" s="34"/>
      <c r="C12" s="29"/>
      <c r="D12" s="110"/>
      <c r="E12" s="242"/>
      <c r="F12" s="33"/>
      <c r="G12" s="244"/>
      <c r="H12" s="246"/>
    </row>
    <row r="13" spans="1:8" x14ac:dyDescent="0.2">
      <c r="A13" s="27">
        <f t="shared" si="0"/>
        <v>5</v>
      </c>
      <c r="B13" s="32" t="s">
        <v>60</v>
      </c>
      <c r="C13" s="35" t="s">
        <v>16</v>
      </c>
      <c r="D13" s="111">
        <v>100</v>
      </c>
      <c r="E13" s="242">
        <f>'[1]Sch 120 Street &amp; Area Lighting'!G27</f>
        <v>2.2799999999999998</v>
      </c>
      <c r="F13" s="243">
        <f>E13*$H$168</f>
        <v>0.10617928722270246</v>
      </c>
      <c r="G13" s="244">
        <f>'[2]Lamp Inventory Pivot'!D6</f>
        <v>33</v>
      </c>
      <c r="H13" s="245">
        <f>F13*G13</f>
        <v>3.5039164783491814</v>
      </c>
    </row>
    <row r="14" spans="1:8" x14ac:dyDescent="0.2">
      <c r="A14" s="27">
        <f t="shared" si="0"/>
        <v>6</v>
      </c>
      <c r="B14" s="32" t="str">
        <f>+B13</f>
        <v>50E</v>
      </c>
      <c r="C14" s="35" t="s">
        <v>16</v>
      </c>
      <c r="D14" s="111">
        <v>175</v>
      </c>
      <c r="E14" s="242">
        <f>'[1]Sch 120 Street &amp; Area Lighting'!G28</f>
        <v>3.98</v>
      </c>
      <c r="F14" s="243">
        <f>E14*$H$168</f>
        <v>0.18534805401155957</v>
      </c>
      <c r="G14" s="244">
        <f>'[2]Lamp Inventory Pivot'!D7</f>
        <v>240</v>
      </c>
      <c r="H14" s="245">
        <f>F14*G14</f>
        <v>44.483532962774298</v>
      </c>
    </row>
    <row r="15" spans="1:8" x14ac:dyDescent="0.2">
      <c r="A15" s="27">
        <f t="shared" si="0"/>
        <v>7</v>
      </c>
      <c r="B15" s="32" t="str">
        <f>+B14</f>
        <v>50E</v>
      </c>
      <c r="C15" s="35" t="s">
        <v>16</v>
      </c>
      <c r="D15" s="111">
        <v>400</v>
      </c>
      <c r="E15" s="242">
        <f>'[1]Sch 120 Street &amp; Area Lighting'!G29</f>
        <v>9.1</v>
      </c>
      <c r="F15" s="243">
        <f>E15*$H$168</f>
        <v>0.42378575163447041</v>
      </c>
      <c r="G15" s="244">
        <f>'[2]Lamp Inventory Pivot'!D8</f>
        <v>229</v>
      </c>
      <c r="H15" s="245">
        <f>F15*G15</f>
        <v>97.04693712429372</v>
      </c>
    </row>
    <row r="16" spans="1:8" x14ac:dyDescent="0.2">
      <c r="A16" s="27">
        <f t="shared" si="0"/>
        <v>8</v>
      </c>
      <c r="B16" s="32" t="str">
        <f>+B15</f>
        <v>50E</v>
      </c>
      <c r="C16" s="35" t="s">
        <v>16</v>
      </c>
      <c r="D16" s="111">
        <v>700</v>
      </c>
      <c r="E16" s="242">
        <f>'[1]Sch 120 Street &amp; Area Lighting'!G30</f>
        <v>15.93</v>
      </c>
      <c r="F16" s="243">
        <f>E16*$H$168</f>
        <v>0.74185791467440809</v>
      </c>
      <c r="G16" s="247">
        <v>0</v>
      </c>
      <c r="H16" s="245">
        <f>F16*G16</f>
        <v>0</v>
      </c>
    </row>
    <row r="17" spans="1:8" x14ac:dyDescent="0.2">
      <c r="A17" s="27">
        <f t="shared" si="0"/>
        <v>9</v>
      </c>
      <c r="B17" s="36"/>
      <c r="C17" s="37"/>
      <c r="D17" s="112"/>
      <c r="E17" s="242"/>
      <c r="F17" s="33"/>
      <c r="G17" s="244"/>
      <c r="H17" s="246"/>
    </row>
    <row r="18" spans="1:8" ht="13.5" x14ac:dyDescent="0.35">
      <c r="A18" s="27">
        <f t="shared" si="0"/>
        <v>10</v>
      </c>
      <c r="B18" s="67" t="s">
        <v>31</v>
      </c>
      <c r="C18" s="37"/>
      <c r="D18" s="112"/>
      <c r="E18" s="242"/>
      <c r="F18" s="33"/>
      <c r="G18" s="244"/>
      <c r="H18" s="246"/>
    </row>
    <row r="19" spans="1:8" x14ac:dyDescent="0.2">
      <c r="A19" s="27">
        <f t="shared" si="0"/>
        <v>11</v>
      </c>
      <c r="B19" s="32" t="s">
        <v>32</v>
      </c>
      <c r="C19" s="35" t="s">
        <v>33</v>
      </c>
      <c r="D19" s="112" t="s">
        <v>76</v>
      </c>
      <c r="E19" s="242">
        <f>'[1]Sch 120 Street &amp; Area Lighting'!G33</f>
        <v>0.33999999999999997</v>
      </c>
      <c r="F19" s="243">
        <f t="shared" ref="F19:F29" si="1">E19*$H$168</f>
        <v>1.5833753357771419E-2</v>
      </c>
      <c r="G19" s="244">
        <f>'[2]Lamp Inventory Pivot'!D9</f>
        <v>408</v>
      </c>
      <c r="H19" s="245">
        <f t="shared" ref="H19:H29" si="2">F19*G19</f>
        <v>6.4601713699707393</v>
      </c>
    </row>
    <row r="20" spans="1:8" x14ac:dyDescent="0.2">
      <c r="A20" s="27">
        <f t="shared" si="0"/>
        <v>12</v>
      </c>
      <c r="B20" s="32" t="s">
        <v>32</v>
      </c>
      <c r="C20" s="35" t="s">
        <v>33</v>
      </c>
      <c r="D20" s="113" t="s">
        <v>64</v>
      </c>
      <c r="E20" s="242">
        <f>'[1]Sch 120 Street &amp; Area Lighting'!G34</f>
        <v>1.02</v>
      </c>
      <c r="F20" s="243">
        <f t="shared" si="1"/>
        <v>4.7501260073314268E-2</v>
      </c>
      <c r="G20" s="244">
        <f>'[2]Lamp Inventory Pivot'!D10</f>
        <v>62884</v>
      </c>
      <c r="H20" s="245">
        <f t="shared" si="2"/>
        <v>2987.0692384502945</v>
      </c>
    </row>
    <row r="21" spans="1:8" x14ac:dyDescent="0.2">
      <c r="A21" s="27">
        <f t="shared" si="0"/>
        <v>13</v>
      </c>
      <c r="B21" s="32" t="s">
        <v>32</v>
      </c>
      <c r="C21" s="35" t="s">
        <v>33</v>
      </c>
      <c r="D21" s="111" t="s">
        <v>34</v>
      </c>
      <c r="E21" s="242">
        <f>'[1]Sch 120 Street &amp; Area Lighting'!G35</f>
        <v>1.7</v>
      </c>
      <c r="F21" s="243">
        <f t="shared" si="1"/>
        <v>7.9168766788857106E-2</v>
      </c>
      <c r="G21" s="244">
        <f>'[2]Lamp Inventory Pivot'!D11</f>
        <v>35897</v>
      </c>
      <c r="H21" s="245">
        <f t="shared" si="2"/>
        <v>2841.9212214196036</v>
      </c>
    </row>
    <row r="22" spans="1:8" x14ac:dyDescent="0.2">
      <c r="A22" s="27">
        <f t="shared" si="0"/>
        <v>14</v>
      </c>
      <c r="B22" s="32" t="s">
        <v>32</v>
      </c>
      <c r="C22" s="35" t="s">
        <v>33</v>
      </c>
      <c r="D22" s="111" t="s">
        <v>35</v>
      </c>
      <c r="E22" s="242">
        <f>'[1]Sch 120 Street &amp; Area Lighting'!G36</f>
        <v>2.38</v>
      </c>
      <c r="F22" s="243">
        <f t="shared" si="1"/>
        <v>0.11083627350439995</v>
      </c>
      <c r="G22" s="244">
        <f>'[2]Lamp Inventory Pivot'!D12</f>
        <v>15040</v>
      </c>
      <c r="H22" s="245">
        <f t="shared" si="2"/>
        <v>1666.9775535061754</v>
      </c>
    </row>
    <row r="23" spans="1:8" x14ac:dyDescent="0.2">
      <c r="A23" s="27">
        <f t="shared" si="0"/>
        <v>15</v>
      </c>
      <c r="B23" s="32" t="s">
        <v>32</v>
      </c>
      <c r="C23" s="35" t="s">
        <v>33</v>
      </c>
      <c r="D23" s="111" t="s">
        <v>36</v>
      </c>
      <c r="E23" s="242">
        <f>'[1]Sch 120 Street &amp; Area Lighting'!G37</f>
        <v>3.0700000000000003</v>
      </c>
      <c r="F23" s="243">
        <f t="shared" si="1"/>
        <v>0.14296947884811256</v>
      </c>
      <c r="G23" s="244">
        <f>'[2]Lamp Inventory Pivot'!D13</f>
        <v>7113</v>
      </c>
      <c r="H23" s="245">
        <f t="shared" si="2"/>
        <v>1016.9419030466247</v>
      </c>
    </row>
    <row r="24" spans="1:8" x14ac:dyDescent="0.2">
      <c r="A24" s="27">
        <f t="shared" si="0"/>
        <v>16</v>
      </c>
      <c r="B24" s="32" t="s">
        <v>32</v>
      </c>
      <c r="C24" s="35" t="s">
        <v>33</v>
      </c>
      <c r="D24" s="111" t="s">
        <v>37</v>
      </c>
      <c r="E24" s="242">
        <f>'[1]Sch 120 Street &amp; Area Lighting'!G38</f>
        <v>3.75</v>
      </c>
      <c r="F24" s="243">
        <f t="shared" si="1"/>
        <v>0.17463698556365539</v>
      </c>
      <c r="G24" s="244">
        <f>'[2]Lamp Inventory Pivot'!D14</f>
        <v>905</v>
      </c>
      <c r="H24" s="245">
        <f t="shared" si="2"/>
        <v>158.04647193510814</v>
      </c>
    </row>
    <row r="25" spans="1:8" x14ac:dyDescent="0.2">
      <c r="A25" s="27">
        <f t="shared" si="0"/>
        <v>17</v>
      </c>
      <c r="B25" s="32" t="s">
        <v>32</v>
      </c>
      <c r="C25" s="35" t="s">
        <v>33</v>
      </c>
      <c r="D25" s="111" t="s">
        <v>38</v>
      </c>
      <c r="E25" s="242">
        <f>'[1]Sch 120 Street &amp; Area Lighting'!G39</f>
        <v>4.43</v>
      </c>
      <c r="F25" s="243">
        <f t="shared" si="1"/>
        <v>0.20630449227919823</v>
      </c>
      <c r="G25" s="244">
        <f>'[2]Lamp Inventory Pivot'!D15</f>
        <v>2319</v>
      </c>
      <c r="H25" s="245">
        <f t="shared" si="2"/>
        <v>478.42011759546068</v>
      </c>
    </row>
    <row r="26" spans="1:8" x14ac:dyDescent="0.2">
      <c r="A26" s="27">
        <f t="shared" si="0"/>
        <v>18</v>
      </c>
      <c r="B26" s="32" t="s">
        <v>32</v>
      </c>
      <c r="C26" s="35" t="s">
        <v>33</v>
      </c>
      <c r="D26" s="111" t="s">
        <v>39</v>
      </c>
      <c r="E26" s="242">
        <f>'[1]Sch 120 Street &amp; Area Lighting'!G40</f>
        <v>5.12</v>
      </c>
      <c r="F26" s="243">
        <f t="shared" si="1"/>
        <v>0.23843769762291081</v>
      </c>
      <c r="G26" s="244">
        <f>'[2]Lamp Inventory Pivot'!D16</f>
        <v>959</v>
      </c>
      <c r="H26" s="245">
        <f t="shared" si="2"/>
        <v>228.66175202037147</v>
      </c>
    </row>
    <row r="27" spans="1:8" x14ac:dyDescent="0.2">
      <c r="A27" s="27">
        <f t="shared" si="0"/>
        <v>19</v>
      </c>
      <c r="B27" s="32" t="s">
        <v>32</v>
      </c>
      <c r="C27" s="35" t="s">
        <v>33</v>
      </c>
      <c r="D27" s="111" t="s">
        <v>40</v>
      </c>
      <c r="E27" s="242">
        <f>'[1]Sch 120 Street &amp; Area Lighting'!G41</f>
        <v>5.8</v>
      </c>
      <c r="F27" s="243">
        <f t="shared" si="1"/>
        <v>0.27010520433845364</v>
      </c>
      <c r="G27" s="244">
        <f>'[2]Lamp Inventory Pivot'!D17</f>
        <v>74</v>
      </c>
      <c r="H27" s="245">
        <f t="shared" si="2"/>
        <v>19.987785121045569</v>
      </c>
    </row>
    <row r="28" spans="1:8" x14ac:dyDescent="0.2">
      <c r="A28" s="27">
        <f t="shared" si="0"/>
        <v>20</v>
      </c>
      <c r="B28" s="32" t="s">
        <v>32</v>
      </c>
      <c r="C28" s="35" t="s">
        <v>33</v>
      </c>
      <c r="D28" s="111" t="s">
        <v>41</v>
      </c>
      <c r="E28" s="242">
        <f>'[1]Sch 120 Street &amp; Area Lighting'!G42</f>
        <v>6.48</v>
      </c>
      <c r="F28" s="243">
        <f t="shared" si="1"/>
        <v>0.3017727110539965</v>
      </c>
      <c r="G28" s="244">
        <f>'[2]Lamp Inventory Pivot'!D18</f>
        <v>947</v>
      </c>
      <c r="H28" s="245">
        <f t="shared" si="2"/>
        <v>285.77875736813468</v>
      </c>
    </row>
    <row r="29" spans="1:8" x14ac:dyDescent="0.2">
      <c r="A29" s="27">
        <f t="shared" si="0"/>
        <v>21</v>
      </c>
      <c r="B29" s="32" t="s">
        <v>129</v>
      </c>
      <c r="C29" s="35" t="s">
        <v>74</v>
      </c>
      <c r="D29" s="114" t="s">
        <v>75</v>
      </c>
      <c r="E29" s="43">
        <f>'[1]Sch 120 Street &amp; Area Lighting'!G43</f>
        <v>6.4988000000000004E-2</v>
      </c>
      <c r="F29" s="248">
        <f t="shared" si="1"/>
        <v>3.0264822447495566E-3</v>
      </c>
      <c r="G29" s="244">
        <f>'[2]Lamp Inventory Pivot'!$D$19</f>
        <v>152499</v>
      </c>
      <c r="H29" s="245">
        <f t="shared" si="2"/>
        <v>461.53551584206264</v>
      </c>
    </row>
    <row r="30" spans="1:8" x14ac:dyDescent="0.2">
      <c r="A30" s="27">
        <f t="shared" si="0"/>
        <v>22</v>
      </c>
      <c r="B30" s="36"/>
      <c r="C30" s="30"/>
      <c r="D30" s="112"/>
      <c r="E30" s="242"/>
      <c r="F30" s="33"/>
      <c r="G30" s="244"/>
      <c r="H30" s="246"/>
    </row>
    <row r="31" spans="1:8" ht="13.5" x14ac:dyDescent="0.35">
      <c r="A31" s="27">
        <f t="shared" si="0"/>
        <v>23</v>
      </c>
      <c r="B31" s="67" t="s">
        <v>122</v>
      </c>
      <c r="C31" s="30"/>
      <c r="D31" s="112"/>
      <c r="E31" s="242"/>
      <c r="F31" s="33"/>
      <c r="G31" s="244"/>
      <c r="H31" s="246"/>
    </row>
    <row r="32" spans="1:8" x14ac:dyDescent="0.2">
      <c r="A32" s="27">
        <f t="shared" si="0"/>
        <v>24</v>
      </c>
      <c r="B32" s="32" t="s">
        <v>42</v>
      </c>
      <c r="C32" s="38" t="s">
        <v>17</v>
      </c>
      <c r="D32" s="111">
        <v>50</v>
      </c>
      <c r="E32" s="242">
        <f>'[1]Sch 120 Street &amp; Area Lighting'!G46</f>
        <v>1.1299999999999999</v>
      </c>
      <c r="F32" s="243">
        <f t="shared" ref="F32:F39" si="3">E32*$H$168</f>
        <v>5.2623944983181487E-2</v>
      </c>
      <c r="G32" s="247">
        <v>0</v>
      </c>
      <c r="H32" s="245">
        <f t="shared" ref="H32:H39" si="4">F32*G32</f>
        <v>0</v>
      </c>
    </row>
    <row r="33" spans="1:8" x14ac:dyDescent="0.2">
      <c r="A33" s="27">
        <f t="shared" si="0"/>
        <v>25</v>
      </c>
      <c r="B33" s="32" t="str">
        <f t="shared" ref="B33:B39" si="5">+B32</f>
        <v xml:space="preserve">52E </v>
      </c>
      <c r="C33" s="38" t="s">
        <v>17</v>
      </c>
      <c r="D33" s="111">
        <v>70</v>
      </c>
      <c r="E33" s="242">
        <f>'[1]Sch 120 Street &amp; Area Lighting'!G47</f>
        <v>1.6</v>
      </c>
      <c r="F33" s="243">
        <f t="shared" si="3"/>
        <v>7.4511780507159633E-2</v>
      </c>
      <c r="G33" s="244">
        <f>'[2]Lamp Inventory Pivot'!D20</f>
        <v>7987</v>
      </c>
      <c r="H33" s="245">
        <f t="shared" si="4"/>
        <v>595.12559091068397</v>
      </c>
    </row>
    <row r="34" spans="1:8" x14ac:dyDescent="0.2">
      <c r="A34" s="27">
        <f t="shared" si="0"/>
        <v>26</v>
      </c>
      <c r="B34" s="32" t="str">
        <f t="shared" si="5"/>
        <v xml:space="preserve">52E </v>
      </c>
      <c r="C34" s="38" t="s">
        <v>17</v>
      </c>
      <c r="D34" s="111">
        <v>100</v>
      </c>
      <c r="E34" s="242">
        <f>'[1]Sch 120 Street &amp; Area Lighting'!G48</f>
        <v>2.2799999999999998</v>
      </c>
      <c r="F34" s="243">
        <f t="shared" si="3"/>
        <v>0.10617928722270246</v>
      </c>
      <c r="G34" s="244">
        <f>'[2]Lamp Inventory Pivot'!D21</f>
        <v>112813</v>
      </c>
      <c r="H34" s="245">
        <f t="shared" si="4"/>
        <v>11978.403929454733</v>
      </c>
    </row>
    <row r="35" spans="1:8" x14ac:dyDescent="0.2">
      <c r="A35" s="27">
        <f t="shared" si="0"/>
        <v>27</v>
      </c>
      <c r="B35" s="32" t="str">
        <f t="shared" si="5"/>
        <v xml:space="preserve">52E </v>
      </c>
      <c r="C35" s="38" t="s">
        <v>17</v>
      </c>
      <c r="D35" s="111">
        <v>150</v>
      </c>
      <c r="E35" s="242">
        <f>'[1]Sch 120 Street &amp; Area Lighting'!G49</f>
        <v>3.41</v>
      </c>
      <c r="F35" s="243">
        <f t="shared" si="3"/>
        <v>0.15880323220588397</v>
      </c>
      <c r="G35" s="244">
        <f>'[2]Lamp Inventory Pivot'!D22</f>
        <v>52631</v>
      </c>
      <c r="H35" s="245">
        <f t="shared" si="4"/>
        <v>8357.9729142278793</v>
      </c>
    </row>
    <row r="36" spans="1:8" x14ac:dyDescent="0.2">
      <c r="A36" s="27">
        <f t="shared" si="0"/>
        <v>28</v>
      </c>
      <c r="B36" s="32" t="str">
        <f t="shared" si="5"/>
        <v xml:space="preserve">52E </v>
      </c>
      <c r="C36" s="38" t="s">
        <v>17</v>
      </c>
      <c r="D36" s="111">
        <v>200</v>
      </c>
      <c r="E36" s="242">
        <f>'[1]Sch 120 Street &amp; Area Lighting'!G50</f>
        <v>4.55</v>
      </c>
      <c r="F36" s="243">
        <f t="shared" si="3"/>
        <v>0.2118928758172352</v>
      </c>
      <c r="G36" s="244">
        <f>'[2]Lamp Inventory Pivot'!D23</f>
        <v>10988</v>
      </c>
      <c r="H36" s="245">
        <f t="shared" si="4"/>
        <v>2328.2789194797806</v>
      </c>
    </row>
    <row r="37" spans="1:8" x14ac:dyDescent="0.2">
      <c r="A37" s="27">
        <f t="shared" si="0"/>
        <v>29</v>
      </c>
      <c r="B37" s="32" t="str">
        <f t="shared" si="5"/>
        <v xml:space="preserve">52E </v>
      </c>
      <c r="C37" s="38" t="s">
        <v>17</v>
      </c>
      <c r="D37" s="111">
        <v>250</v>
      </c>
      <c r="E37" s="242">
        <f>'[1]Sch 120 Street &amp; Area Lighting'!G51</f>
        <v>5.68</v>
      </c>
      <c r="F37" s="243">
        <f t="shared" si="3"/>
        <v>0.26451682080041666</v>
      </c>
      <c r="G37" s="244">
        <f>'[2]Lamp Inventory Pivot'!D24</f>
        <v>16314</v>
      </c>
      <c r="H37" s="245">
        <f t="shared" si="4"/>
        <v>4315.3274145379974</v>
      </c>
    </row>
    <row r="38" spans="1:8" x14ac:dyDescent="0.2">
      <c r="A38" s="27">
        <f t="shared" si="0"/>
        <v>30</v>
      </c>
      <c r="B38" s="32" t="str">
        <f t="shared" si="5"/>
        <v xml:space="preserve">52E </v>
      </c>
      <c r="C38" s="38" t="s">
        <v>17</v>
      </c>
      <c r="D38" s="111">
        <v>310</v>
      </c>
      <c r="E38" s="242">
        <f>'[1]Sch 120 Street &amp; Area Lighting'!G52</f>
        <v>7.05</v>
      </c>
      <c r="F38" s="243">
        <f t="shared" si="3"/>
        <v>0.32831753285967213</v>
      </c>
      <c r="G38" s="244">
        <f>'[2]Lamp Inventory Pivot'!D25</f>
        <v>1679</v>
      </c>
      <c r="H38" s="245">
        <f t="shared" si="4"/>
        <v>551.24513767138956</v>
      </c>
    </row>
    <row r="39" spans="1:8" x14ac:dyDescent="0.2">
      <c r="A39" s="27">
        <f t="shared" si="0"/>
        <v>31</v>
      </c>
      <c r="B39" s="32" t="str">
        <f t="shared" si="5"/>
        <v xml:space="preserve">52E </v>
      </c>
      <c r="C39" s="38" t="s">
        <v>17</v>
      </c>
      <c r="D39" s="111">
        <v>400</v>
      </c>
      <c r="E39" s="242">
        <f>'[1]Sch 120 Street &amp; Area Lighting'!G53</f>
        <v>9.1</v>
      </c>
      <c r="F39" s="243">
        <f t="shared" si="3"/>
        <v>0.42378575163447041</v>
      </c>
      <c r="G39" s="244">
        <f>'[2]Lamp Inventory Pivot'!D26</f>
        <v>6867</v>
      </c>
      <c r="H39" s="245">
        <f t="shared" si="4"/>
        <v>2910.1367564739085</v>
      </c>
    </row>
    <row r="40" spans="1:8" x14ac:dyDescent="0.2">
      <c r="A40" s="27">
        <f t="shared" si="0"/>
        <v>32</v>
      </c>
      <c r="B40" s="39"/>
      <c r="C40" s="38"/>
      <c r="D40" s="111"/>
      <c r="E40" s="242"/>
      <c r="F40" s="33"/>
      <c r="G40" s="244"/>
      <c r="H40" s="246"/>
    </row>
    <row r="41" spans="1:8" x14ac:dyDescent="0.2">
      <c r="A41" s="27">
        <f t="shared" si="0"/>
        <v>33</v>
      </c>
      <c r="B41" s="32" t="str">
        <f>+B36</f>
        <v xml:space="preserve">52E </v>
      </c>
      <c r="C41" s="38" t="s">
        <v>43</v>
      </c>
      <c r="D41" s="111">
        <v>70</v>
      </c>
      <c r="E41" s="242">
        <f>'[1]Sch 120 Street &amp; Area Lighting'!G55</f>
        <v>1.6</v>
      </c>
      <c r="F41" s="243">
        <f t="shared" ref="F41:F47" si="6">E41*$H$168</f>
        <v>7.4511780507159633E-2</v>
      </c>
      <c r="G41" s="244">
        <f>'[2]Lamp Inventory Pivot'!D27</f>
        <v>838</v>
      </c>
      <c r="H41" s="245">
        <f t="shared" ref="H41:H47" si="7">F41*G41</f>
        <v>62.440872064999773</v>
      </c>
    </row>
    <row r="42" spans="1:8" x14ac:dyDescent="0.2">
      <c r="A42" s="27">
        <f t="shared" ref="A42:A73" si="8">+A41+1</f>
        <v>34</v>
      </c>
      <c r="B42" s="32" t="str">
        <f>+B37</f>
        <v xml:space="preserve">52E </v>
      </c>
      <c r="C42" s="38" t="s">
        <v>43</v>
      </c>
      <c r="D42" s="111">
        <v>100</v>
      </c>
      <c r="E42" s="242">
        <f>'[1]Sch 120 Street &amp; Area Lighting'!G56</f>
        <v>2.2799999999999998</v>
      </c>
      <c r="F42" s="243">
        <f t="shared" si="6"/>
        <v>0.10617928722270246</v>
      </c>
      <c r="G42" s="244">
        <f>'[2]Lamp Inventory Pivot'!D28</f>
        <v>50</v>
      </c>
      <c r="H42" s="245">
        <f t="shared" si="7"/>
        <v>5.3089643611351232</v>
      </c>
    </row>
    <row r="43" spans="1:8" x14ac:dyDescent="0.2">
      <c r="A43" s="27">
        <f t="shared" si="8"/>
        <v>35</v>
      </c>
      <c r="B43" s="32" t="str">
        <f>+B38</f>
        <v xml:space="preserve">52E </v>
      </c>
      <c r="C43" s="38" t="s">
        <v>43</v>
      </c>
      <c r="D43" s="111">
        <v>150</v>
      </c>
      <c r="E43" s="242">
        <f>'[1]Sch 120 Street &amp; Area Lighting'!G57</f>
        <v>3.41</v>
      </c>
      <c r="F43" s="243">
        <f t="shared" si="6"/>
        <v>0.15880323220588397</v>
      </c>
      <c r="G43" s="244">
        <f>'[2]Lamp Inventory Pivot'!D29</f>
        <v>2364</v>
      </c>
      <c r="H43" s="245">
        <f t="shared" si="7"/>
        <v>375.41084093470971</v>
      </c>
    </row>
    <row r="44" spans="1:8" x14ac:dyDescent="0.2">
      <c r="A44" s="27">
        <f t="shared" si="8"/>
        <v>36</v>
      </c>
      <c r="B44" s="32" t="str">
        <f>+B39</f>
        <v xml:space="preserve">52E </v>
      </c>
      <c r="C44" s="38" t="s">
        <v>43</v>
      </c>
      <c r="D44" s="111">
        <v>175</v>
      </c>
      <c r="E44" s="242">
        <f>'[1]Sch 120 Street &amp; Area Lighting'!G58</f>
        <v>3.98</v>
      </c>
      <c r="F44" s="243">
        <f t="shared" si="6"/>
        <v>0.18534805401155957</v>
      </c>
      <c r="G44" s="244">
        <f>'[2]Lamp Inventory Pivot'!D30</f>
        <v>2450</v>
      </c>
      <c r="H44" s="245">
        <f t="shared" si="7"/>
        <v>454.10273232832094</v>
      </c>
    </row>
    <row r="45" spans="1:8" x14ac:dyDescent="0.2">
      <c r="A45" s="27">
        <f t="shared" si="8"/>
        <v>37</v>
      </c>
      <c r="B45" s="32" t="str">
        <f t="shared" ref="B45:C47" si="9">+B44</f>
        <v xml:space="preserve">52E </v>
      </c>
      <c r="C45" s="38" t="str">
        <f t="shared" si="9"/>
        <v>Metal Halide</v>
      </c>
      <c r="D45" s="111">
        <v>250</v>
      </c>
      <c r="E45" s="242">
        <f>'[1]Sch 120 Street &amp; Area Lighting'!G59</f>
        <v>5.68</v>
      </c>
      <c r="F45" s="243">
        <f t="shared" si="6"/>
        <v>0.26451682080041666</v>
      </c>
      <c r="G45" s="244">
        <f>'[2]Lamp Inventory Pivot'!D31</f>
        <v>404</v>
      </c>
      <c r="H45" s="245">
        <f t="shared" si="7"/>
        <v>106.86479560336834</v>
      </c>
    </row>
    <row r="46" spans="1:8" x14ac:dyDescent="0.2">
      <c r="A46" s="27">
        <f t="shared" si="8"/>
        <v>38</v>
      </c>
      <c r="B46" s="32" t="str">
        <f t="shared" si="9"/>
        <v xml:space="preserve">52E </v>
      </c>
      <c r="C46" s="38" t="str">
        <f t="shared" si="9"/>
        <v>Metal Halide</v>
      </c>
      <c r="D46" s="111">
        <v>400</v>
      </c>
      <c r="E46" s="242">
        <f>'[1]Sch 120 Street &amp; Area Lighting'!G60</f>
        <v>9.1</v>
      </c>
      <c r="F46" s="243">
        <f t="shared" si="6"/>
        <v>0.42378575163447041</v>
      </c>
      <c r="G46" s="244">
        <f>'[2]Lamp Inventory Pivot'!D32</f>
        <v>684</v>
      </c>
      <c r="H46" s="245">
        <f t="shared" si="7"/>
        <v>289.86945411797774</v>
      </c>
    </row>
    <row r="47" spans="1:8" x14ac:dyDescent="0.2">
      <c r="A47" s="27">
        <f t="shared" si="8"/>
        <v>39</v>
      </c>
      <c r="B47" s="32" t="str">
        <f t="shared" si="9"/>
        <v xml:space="preserve">52E </v>
      </c>
      <c r="C47" s="38" t="str">
        <f t="shared" si="9"/>
        <v>Metal Halide</v>
      </c>
      <c r="D47" s="111">
        <v>1000</v>
      </c>
      <c r="E47" s="242">
        <f>'[1]Sch 120 Street &amp; Area Lighting'!G61</f>
        <v>22.74</v>
      </c>
      <c r="F47" s="243">
        <f t="shared" si="6"/>
        <v>1.0589986804580063</v>
      </c>
      <c r="G47" s="244">
        <f>'[2]Lamp Inventory Pivot'!D33</f>
        <v>216</v>
      </c>
      <c r="H47" s="245">
        <f t="shared" si="7"/>
        <v>228.74371497892935</v>
      </c>
    </row>
    <row r="48" spans="1:8" x14ac:dyDescent="0.2">
      <c r="A48" s="27">
        <f t="shared" si="8"/>
        <v>40</v>
      </c>
      <c r="B48" s="36"/>
      <c r="C48" s="30"/>
      <c r="D48" s="112"/>
      <c r="E48" s="242"/>
      <c r="F48" s="33"/>
      <c r="G48" s="244"/>
      <c r="H48" s="246"/>
    </row>
    <row r="49" spans="1:8" ht="13.5" x14ac:dyDescent="0.35">
      <c r="A49" s="27">
        <f t="shared" si="8"/>
        <v>41</v>
      </c>
      <c r="B49" s="67" t="s">
        <v>123</v>
      </c>
      <c r="C49" s="30"/>
      <c r="D49" s="112"/>
      <c r="E49" s="242"/>
      <c r="F49" s="33"/>
      <c r="G49" s="244"/>
      <c r="H49" s="246"/>
    </row>
    <row r="50" spans="1:8" x14ac:dyDescent="0.2">
      <c r="A50" s="27">
        <f t="shared" si="8"/>
        <v>42</v>
      </c>
      <c r="B50" s="32" t="s">
        <v>61</v>
      </c>
      <c r="C50" s="38" t="s">
        <v>17</v>
      </c>
      <c r="D50" s="111">
        <v>50</v>
      </c>
      <c r="E50" s="242">
        <f>'[1]Sch 120 Street &amp; Area Lighting'!G64</f>
        <v>1.1299999999999999</v>
      </c>
      <c r="F50" s="243">
        <f t="shared" ref="F50:F58" si="10">E50*$H$168</f>
        <v>5.2623944983181487E-2</v>
      </c>
      <c r="G50" s="244">
        <f>'[2]Lamp Inventory Pivot'!D34</f>
        <v>0</v>
      </c>
      <c r="H50" s="245">
        <f t="shared" ref="H50:H58" si="11">F50*G50</f>
        <v>0</v>
      </c>
    </row>
    <row r="51" spans="1:8" x14ac:dyDescent="0.2">
      <c r="A51" s="27">
        <f t="shared" si="8"/>
        <v>43</v>
      </c>
      <c r="B51" s="32" t="str">
        <f t="shared" ref="B51:B58" si="12">+B50</f>
        <v>53E</v>
      </c>
      <c r="C51" s="38" t="s">
        <v>17</v>
      </c>
      <c r="D51" s="111">
        <v>70</v>
      </c>
      <c r="E51" s="242">
        <f>'[1]Sch 120 Street &amp; Area Lighting'!G65</f>
        <v>1.6</v>
      </c>
      <c r="F51" s="243">
        <f t="shared" si="10"/>
        <v>7.4511780507159633E-2</v>
      </c>
      <c r="G51" s="244">
        <f>'[2]Lamp Inventory Pivot'!D35</f>
        <v>42559</v>
      </c>
      <c r="H51" s="245">
        <f t="shared" si="11"/>
        <v>3171.1468666042069</v>
      </c>
    </row>
    <row r="52" spans="1:8" x14ac:dyDescent="0.2">
      <c r="A52" s="27">
        <f t="shared" si="8"/>
        <v>44</v>
      </c>
      <c r="B52" s="32" t="str">
        <f t="shared" si="12"/>
        <v>53E</v>
      </c>
      <c r="C52" s="38" t="s">
        <v>17</v>
      </c>
      <c r="D52" s="111">
        <v>100</v>
      </c>
      <c r="E52" s="242">
        <f>'[1]Sch 120 Street &amp; Area Lighting'!G66</f>
        <v>2.2799999999999998</v>
      </c>
      <c r="F52" s="243">
        <f t="shared" si="10"/>
        <v>0.10617928722270246</v>
      </c>
      <c r="G52" s="244">
        <f>'[2]Lamp Inventory Pivot'!D36</f>
        <v>325021</v>
      </c>
      <c r="H52" s="245">
        <f t="shared" si="11"/>
        <v>34510.49811240998</v>
      </c>
    </row>
    <row r="53" spans="1:8" x14ac:dyDescent="0.2">
      <c r="A53" s="27">
        <f t="shared" si="8"/>
        <v>45</v>
      </c>
      <c r="B53" s="32" t="str">
        <f t="shared" si="12"/>
        <v>53E</v>
      </c>
      <c r="C53" s="38" t="s">
        <v>17</v>
      </c>
      <c r="D53" s="111">
        <v>150</v>
      </c>
      <c r="E53" s="242">
        <f>'[1]Sch 120 Street &amp; Area Lighting'!G67</f>
        <v>3.41</v>
      </c>
      <c r="F53" s="243">
        <f t="shared" si="10"/>
        <v>0.15880323220588397</v>
      </c>
      <c r="G53" s="244">
        <f>'[2]Lamp Inventory Pivot'!D37</f>
        <v>39168</v>
      </c>
      <c r="H53" s="245">
        <f t="shared" si="11"/>
        <v>6220.004999040063</v>
      </c>
    </row>
    <row r="54" spans="1:8" x14ac:dyDescent="0.2">
      <c r="A54" s="27">
        <f t="shared" si="8"/>
        <v>46</v>
      </c>
      <c r="B54" s="32" t="str">
        <f t="shared" si="12"/>
        <v>53E</v>
      </c>
      <c r="C54" s="38" t="s">
        <v>17</v>
      </c>
      <c r="D54" s="111">
        <v>200</v>
      </c>
      <c r="E54" s="242">
        <f>'[1]Sch 120 Street &amp; Area Lighting'!G68</f>
        <v>4.55</v>
      </c>
      <c r="F54" s="243">
        <f t="shared" si="10"/>
        <v>0.2118928758172352</v>
      </c>
      <c r="G54" s="244">
        <f>'[2]Lamp Inventory Pivot'!D38</f>
        <v>52444</v>
      </c>
      <c r="H54" s="245">
        <f t="shared" si="11"/>
        <v>11112.509979359083</v>
      </c>
    </row>
    <row r="55" spans="1:8" x14ac:dyDescent="0.2">
      <c r="A55" s="27">
        <f t="shared" si="8"/>
        <v>47</v>
      </c>
      <c r="B55" s="32" t="str">
        <f t="shared" si="12"/>
        <v>53E</v>
      </c>
      <c r="C55" s="38" t="s">
        <v>17</v>
      </c>
      <c r="D55" s="111">
        <v>250</v>
      </c>
      <c r="E55" s="242">
        <f>'[1]Sch 120 Street &amp; Area Lighting'!G69</f>
        <v>5.68</v>
      </c>
      <c r="F55" s="243">
        <f t="shared" si="10"/>
        <v>0.26451682080041666</v>
      </c>
      <c r="G55" s="244">
        <f>'[2]Lamp Inventory Pivot'!D39</f>
        <v>20979</v>
      </c>
      <c r="H55" s="245">
        <f t="shared" si="11"/>
        <v>5549.2983835719415</v>
      </c>
    </row>
    <row r="56" spans="1:8" x14ac:dyDescent="0.2">
      <c r="A56" s="27">
        <f t="shared" si="8"/>
        <v>48</v>
      </c>
      <c r="B56" s="32" t="str">
        <f t="shared" si="12"/>
        <v>53E</v>
      </c>
      <c r="C56" s="38" t="s">
        <v>17</v>
      </c>
      <c r="D56" s="111">
        <v>310</v>
      </c>
      <c r="E56" s="242">
        <f>'[1]Sch 120 Street &amp; Area Lighting'!G70</f>
        <v>7.05</v>
      </c>
      <c r="F56" s="243">
        <f t="shared" si="10"/>
        <v>0.32831753285967213</v>
      </c>
      <c r="G56" s="244">
        <f>'[2]Lamp Inventory Pivot'!D40</f>
        <v>235</v>
      </c>
      <c r="H56" s="245">
        <f t="shared" si="11"/>
        <v>77.154620222022956</v>
      </c>
    </row>
    <row r="57" spans="1:8" x14ac:dyDescent="0.2">
      <c r="A57" s="27">
        <f t="shared" si="8"/>
        <v>49</v>
      </c>
      <c r="B57" s="32" t="str">
        <f t="shared" si="12"/>
        <v>53E</v>
      </c>
      <c r="C57" s="38" t="s">
        <v>17</v>
      </c>
      <c r="D57" s="111">
        <v>400</v>
      </c>
      <c r="E57" s="242">
        <f>'[1]Sch 120 Street &amp; Area Lighting'!G71</f>
        <v>9.1</v>
      </c>
      <c r="F57" s="243">
        <f t="shared" si="10"/>
        <v>0.42378575163447041</v>
      </c>
      <c r="G57" s="244">
        <f>'[2]Lamp Inventory Pivot'!D41</f>
        <v>14431</v>
      </c>
      <c r="H57" s="245">
        <f t="shared" si="11"/>
        <v>6115.6521818370429</v>
      </c>
    </row>
    <row r="58" spans="1:8" x14ac:dyDescent="0.2">
      <c r="A58" s="27">
        <f t="shared" si="8"/>
        <v>50</v>
      </c>
      <c r="B58" s="32" t="str">
        <f t="shared" si="12"/>
        <v>53E</v>
      </c>
      <c r="C58" s="38" t="s">
        <v>17</v>
      </c>
      <c r="D58" s="111">
        <v>1000</v>
      </c>
      <c r="E58" s="242">
        <f>'[1]Sch 120 Street &amp; Area Lighting'!G72</f>
        <v>22.74</v>
      </c>
      <c r="F58" s="243">
        <f t="shared" si="10"/>
        <v>1.0589986804580063</v>
      </c>
      <c r="G58" s="244">
        <v>0</v>
      </c>
      <c r="H58" s="245">
        <f t="shared" si="11"/>
        <v>0</v>
      </c>
    </row>
    <row r="59" spans="1:8" x14ac:dyDescent="0.2">
      <c r="A59" s="27">
        <f t="shared" si="8"/>
        <v>51</v>
      </c>
      <c r="B59" s="32"/>
      <c r="C59" s="38"/>
      <c r="D59" s="111"/>
      <c r="E59" s="242"/>
      <c r="F59" s="33"/>
      <c r="G59" s="244"/>
      <c r="H59" s="246"/>
    </row>
    <row r="60" spans="1:8" x14ac:dyDescent="0.2">
      <c r="A60" s="27">
        <f t="shared" si="8"/>
        <v>52</v>
      </c>
      <c r="B60" s="32" t="str">
        <f>+B58</f>
        <v>53E</v>
      </c>
      <c r="C60" s="38" t="s">
        <v>43</v>
      </c>
      <c r="D60" s="111">
        <v>70</v>
      </c>
      <c r="E60" s="242">
        <f>'[1]Sch 120 Street &amp; Area Lighting'!G74</f>
        <v>1.6</v>
      </c>
      <c r="F60" s="243">
        <f t="shared" ref="F60:F65" si="13">E60*$H$168</f>
        <v>7.4511780507159633E-2</v>
      </c>
      <c r="G60" s="247">
        <v>0</v>
      </c>
      <c r="H60" s="245">
        <f t="shared" ref="H60:H65" si="14">F60*G60</f>
        <v>0</v>
      </c>
    </row>
    <row r="61" spans="1:8" x14ac:dyDescent="0.2">
      <c r="A61" s="27">
        <f t="shared" si="8"/>
        <v>53</v>
      </c>
      <c r="B61" s="32" t="str">
        <f>+B60</f>
        <v>53E</v>
      </c>
      <c r="C61" s="38" t="s">
        <v>43</v>
      </c>
      <c r="D61" s="111">
        <v>100</v>
      </c>
      <c r="E61" s="242">
        <f>'[1]Sch 120 Street &amp; Area Lighting'!G75</f>
        <v>2.2799999999999998</v>
      </c>
      <c r="F61" s="243">
        <f t="shared" si="13"/>
        <v>0.10617928722270246</v>
      </c>
      <c r="G61" s="247">
        <v>0</v>
      </c>
      <c r="H61" s="245">
        <f t="shared" si="14"/>
        <v>0</v>
      </c>
    </row>
    <row r="62" spans="1:8" x14ac:dyDescent="0.2">
      <c r="A62" s="27">
        <f t="shared" si="8"/>
        <v>54</v>
      </c>
      <c r="B62" s="32" t="str">
        <f>+B61</f>
        <v>53E</v>
      </c>
      <c r="C62" s="38" t="s">
        <v>43</v>
      </c>
      <c r="D62" s="111">
        <v>150</v>
      </c>
      <c r="E62" s="242">
        <f>'[1]Sch 120 Street &amp; Area Lighting'!G76</f>
        <v>3.41</v>
      </c>
      <c r="F62" s="243">
        <f t="shared" si="13"/>
        <v>0.15880323220588397</v>
      </c>
      <c r="G62" s="247">
        <v>0</v>
      </c>
      <c r="H62" s="245">
        <f t="shared" si="14"/>
        <v>0</v>
      </c>
    </row>
    <row r="63" spans="1:8" x14ac:dyDescent="0.2">
      <c r="A63" s="27">
        <f t="shared" si="8"/>
        <v>55</v>
      </c>
      <c r="B63" s="32" t="str">
        <f>+B62</f>
        <v>53E</v>
      </c>
      <c r="C63" s="38" t="s">
        <v>43</v>
      </c>
      <c r="D63" s="111">
        <v>175</v>
      </c>
      <c r="E63" s="242">
        <f>'[1]Sch 120 Street &amp; Area Lighting'!G77</f>
        <v>3.98</v>
      </c>
      <c r="F63" s="243">
        <f t="shared" si="13"/>
        <v>0.18534805401155957</v>
      </c>
      <c r="G63" s="244">
        <f>'[2]Lamp Inventory Pivot'!$D$42</f>
        <v>48</v>
      </c>
      <c r="H63" s="245">
        <f t="shared" si="14"/>
        <v>8.8967065925548603</v>
      </c>
    </row>
    <row r="64" spans="1:8" x14ac:dyDescent="0.2">
      <c r="A64" s="27">
        <f t="shared" si="8"/>
        <v>56</v>
      </c>
      <c r="B64" s="32" t="str">
        <f>+B63</f>
        <v>53E</v>
      </c>
      <c r="C64" s="38" t="s">
        <v>43</v>
      </c>
      <c r="D64" s="111">
        <v>250</v>
      </c>
      <c r="E64" s="242">
        <f>'[1]Sch 120 Street &amp; Area Lighting'!G78</f>
        <v>5.68</v>
      </c>
      <c r="F64" s="243">
        <f t="shared" si="13"/>
        <v>0.26451682080041666</v>
      </c>
      <c r="G64" s="247">
        <v>0</v>
      </c>
      <c r="H64" s="245">
        <f t="shared" si="14"/>
        <v>0</v>
      </c>
    </row>
    <row r="65" spans="1:8" x14ac:dyDescent="0.2">
      <c r="A65" s="27">
        <f t="shared" si="8"/>
        <v>57</v>
      </c>
      <c r="B65" s="32" t="str">
        <f>+B64</f>
        <v>53E</v>
      </c>
      <c r="C65" s="38" t="s">
        <v>43</v>
      </c>
      <c r="D65" s="111">
        <v>400</v>
      </c>
      <c r="E65" s="242">
        <f>'[1]Sch 120 Street &amp; Area Lighting'!G79</f>
        <v>9.1</v>
      </c>
      <c r="F65" s="243">
        <f t="shared" si="13"/>
        <v>0.42378575163447041</v>
      </c>
      <c r="G65" s="247">
        <v>0</v>
      </c>
      <c r="H65" s="245">
        <f t="shared" si="14"/>
        <v>0</v>
      </c>
    </row>
    <row r="66" spans="1:8" x14ac:dyDescent="0.2">
      <c r="A66" s="27">
        <f t="shared" si="8"/>
        <v>58</v>
      </c>
      <c r="B66" s="32"/>
      <c r="C66" s="38"/>
      <c r="D66" s="111"/>
      <c r="E66" s="242"/>
      <c r="F66" s="33"/>
      <c r="G66" s="244"/>
      <c r="H66" s="246"/>
    </row>
    <row r="67" spans="1:8" x14ac:dyDescent="0.2">
      <c r="A67" s="27">
        <f t="shared" si="8"/>
        <v>59</v>
      </c>
      <c r="B67" s="32" t="str">
        <f>+B64</f>
        <v>53E</v>
      </c>
      <c r="C67" s="38" t="s">
        <v>33</v>
      </c>
      <c r="D67" s="112" t="s">
        <v>76</v>
      </c>
      <c r="E67" s="242">
        <f>'[1]Sch 120 Street &amp; Area Lighting'!G81</f>
        <v>0.33999999999999997</v>
      </c>
      <c r="F67" s="243">
        <f t="shared" ref="F67:F77" si="15">E67*$H$168</f>
        <v>1.5833753357771419E-2</v>
      </c>
      <c r="G67" s="244">
        <f>'[2]Lamp Inventory Pivot'!D43</f>
        <v>1595</v>
      </c>
      <c r="H67" s="245">
        <f t="shared" ref="H67:H77" si="16">F67*G67</f>
        <v>25.254836605645412</v>
      </c>
    </row>
    <row r="68" spans="1:8" x14ac:dyDescent="0.2">
      <c r="A68" s="27">
        <f t="shared" si="8"/>
        <v>60</v>
      </c>
      <c r="B68" s="32" t="str">
        <f>+B65</f>
        <v>53E</v>
      </c>
      <c r="C68" s="38" t="s">
        <v>33</v>
      </c>
      <c r="D68" s="113" t="s">
        <v>64</v>
      </c>
      <c r="E68" s="242">
        <f>'[1]Sch 120 Street &amp; Area Lighting'!G82</f>
        <v>1.02</v>
      </c>
      <c r="F68" s="243">
        <f t="shared" si="15"/>
        <v>4.7501260073314268E-2</v>
      </c>
      <c r="G68" s="244">
        <f>'[2]Lamp Inventory Pivot'!D44</f>
        <v>230234</v>
      </c>
      <c r="H68" s="245">
        <f t="shared" si="16"/>
        <v>10936.405111719438</v>
      </c>
    </row>
    <row r="69" spans="1:8" x14ac:dyDescent="0.2">
      <c r="A69" s="27">
        <f t="shared" si="8"/>
        <v>61</v>
      </c>
      <c r="B69" s="32" t="str">
        <f t="shared" ref="B69:B76" si="17">B68</f>
        <v>53E</v>
      </c>
      <c r="C69" s="38" t="s">
        <v>33</v>
      </c>
      <c r="D69" s="111" t="s">
        <v>34</v>
      </c>
      <c r="E69" s="242">
        <f>'[1]Sch 120 Street &amp; Area Lighting'!G83</f>
        <v>1.7</v>
      </c>
      <c r="F69" s="243">
        <f t="shared" si="15"/>
        <v>7.9168766788857106E-2</v>
      </c>
      <c r="G69" s="244">
        <f>'[2]Lamp Inventory Pivot'!D45</f>
        <v>14998</v>
      </c>
      <c r="H69" s="245">
        <f t="shared" si="16"/>
        <v>1187.3731642992789</v>
      </c>
    </row>
    <row r="70" spans="1:8" x14ac:dyDescent="0.2">
      <c r="A70" s="27">
        <f t="shared" si="8"/>
        <v>62</v>
      </c>
      <c r="B70" s="32" t="str">
        <f t="shared" si="17"/>
        <v>53E</v>
      </c>
      <c r="C70" s="38" t="s">
        <v>33</v>
      </c>
      <c r="D70" s="111" t="s">
        <v>35</v>
      </c>
      <c r="E70" s="242">
        <f>'[1]Sch 120 Street &amp; Area Lighting'!G84</f>
        <v>2.38</v>
      </c>
      <c r="F70" s="243">
        <f t="shared" si="15"/>
        <v>0.11083627350439995</v>
      </c>
      <c r="G70" s="244">
        <f>'[2]Lamp Inventory Pivot'!D46</f>
        <v>34477</v>
      </c>
      <c r="H70" s="245">
        <f t="shared" si="16"/>
        <v>3821.3022016111972</v>
      </c>
    </row>
    <row r="71" spans="1:8" x14ac:dyDescent="0.2">
      <c r="A71" s="27">
        <f t="shared" si="8"/>
        <v>63</v>
      </c>
      <c r="B71" s="32" t="str">
        <f t="shared" si="17"/>
        <v>53E</v>
      </c>
      <c r="C71" s="38" t="s">
        <v>33</v>
      </c>
      <c r="D71" s="111" t="s">
        <v>36</v>
      </c>
      <c r="E71" s="242">
        <f>'[1]Sch 120 Street &amp; Area Lighting'!G85</f>
        <v>3.0700000000000003</v>
      </c>
      <c r="F71" s="243">
        <f t="shared" si="15"/>
        <v>0.14296947884811256</v>
      </c>
      <c r="G71" s="244">
        <f>'[2]Lamp Inventory Pivot'!D47</f>
        <v>21256</v>
      </c>
      <c r="H71" s="245">
        <f t="shared" si="16"/>
        <v>3038.9592423954805</v>
      </c>
    </row>
    <row r="72" spans="1:8" x14ac:dyDescent="0.2">
      <c r="A72" s="27">
        <f t="shared" si="8"/>
        <v>64</v>
      </c>
      <c r="B72" s="32" t="str">
        <f t="shared" si="17"/>
        <v>53E</v>
      </c>
      <c r="C72" s="38" t="s">
        <v>33</v>
      </c>
      <c r="D72" s="111" t="s">
        <v>37</v>
      </c>
      <c r="E72" s="242">
        <f>'[1]Sch 120 Street &amp; Area Lighting'!G86</f>
        <v>3.75</v>
      </c>
      <c r="F72" s="243">
        <f t="shared" si="15"/>
        <v>0.17463698556365539</v>
      </c>
      <c r="G72" s="244">
        <f>'[2]Lamp Inventory Pivot'!D48</f>
        <v>17354</v>
      </c>
      <c r="H72" s="245">
        <f t="shared" si="16"/>
        <v>3030.6502474716758</v>
      </c>
    </row>
    <row r="73" spans="1:8" x14ac:dyDescent="0.2">
      <c r="A73" s="27">
        <f t="shared" si="8"/>
        <v>65</v>
      </c>
      <c r="B73" s="32" t="str">
        <f t="shared" si="17"/>
        <v>53E</v>
      </c>
      <c r="C73" s="38" t="s">
        <v>33</v>
      </c>
      <c r="D73" s="111" t="s">
        <v>38</v>
      </c>
      <c r="E73" s="242">
        <f>'[1]Sch 120 Street &amp; Area Lighting'!G87</f>
        <v>4.43</v>
      </c>
      <c r="F73" s="243">
        <f t="shared" si="15"/>
        <v>0.20630449227919823</v>
      </c>
      <c r="G73" s="244">
        <f>'[2]Lamp Inventory Pivot'!D49</f>
        <v>5552</v>
      </c>
      <c r="H73" s="245">
        <f t="shared" si="16"/>
        <v>1145.4025411341086</v>
      </c>
    </row>
    <row r="74" spans="1:8" x14ac:dyDescent="0.2">
      <c r="A74" s="27">
        <f t="shared" ref="A74:A105" si="18">+A73+1</f>
        <v>66</v>
      </c>
      <c r="B74" s="32" t="str">
        <f t="shared" si="17"/>
        <v>53E</v>
      </c>
      <c r="C74" s="38" t="s">
        <v>33</v>
      </c>
      <c r="D74" s="111" t="s">
        <v>39</v>
      </c>
      <c r="E74" s="242">
        <f>'[1]Sch 120 Street &amp; Area Lighting'!G88</f>
        <v>5.12</v>
      </c>
      <c r="F74" s="243">
        <f t="shared" si="15"/>
        <v>0.23843769762291081</v>
      </c>
      <c r="G74" s="244">
        <f>'[2]Lamp Inventory Pivot'!D50</f>
        <v>778</v>
      </c>
      <c r="H74" s="245">
        <f t="shared" si="16"/>
        <v>185.50452875062462</v>
      </c>
    </row>
    <row r="75" spans="1:8" x14ac:dyDescent="0.2">
      <c r="A75" s="27">
        <f t="shared" si="18"/>
        <v>67</v>
      </c>
      <c r="B75" s="32" t="str">
        <f t="shared" si="17"/>
        <v>53E</v>
      </c>
      <c r="C75" s="38" t="s">
        <v>33</v>
      </c>
      <c r="D75" s="111" t="s">
        <v>40</v>
      </c>
      <c r="E75" s="242">
        <f>'[1]Sch 120 Street &amp; Area Lighting'!G89</f>
        <v>5.8</v>
      </c>
      <c r="F75" s="243">
        <f t="shared" si="15"/>
        <v>0.27010520433845364</v>
      </c>
      <c r="G75" s="244">
        <f>'[2]Lamp Inventory Pivot'!D51</f>
        <v>290</v>
      </c>
      <c r="H75" s="245">
        <f t="shared" si="16"/>
        <v>78.330509258151551</v>
      </c>
    </row>
    <row r="76" spans="1:8" x14ac:dyDescent="0.2">
      <c r="A76" s="27">
        <f t="shared" si="18"/>
        <v>68</v>
      </c>
      <c r="B76" s="32" t="str">
        <f t="shared" si="17"/>
        <v>53E</v>
      </c>
      <c r="C76" s="38" t="s">
        <v>33</v>
      </c>
      <c r="D76" s="111" t="s">
        <v>41</v>
      </c>
      <c r="E76" s="242">
        <f>'[1]Sch 120 Street &amp; Area Lighting'!G90</f>
        <v>6.48</v>
      </c>
      <c r="F76" s="243">
        <f t="shared" si="15"/>
        <v>0.3017727110539965</v>
      </c>
      <c r="G76" s="244">
        <f>'[2]Lamp Inventory Pivot'!D52</f>
        <v>1790</v>
      </c>
      <c r="H76" s="245">
        <f t="shared" si="16"/>
        <v>540.17315278665376</v>
      </c>
    </row>
    <row r="77" spans="1:8" x14ac:dyDescent="0.2">
      <c r="A77" s="27">
        <f t="shared" si="18"/>
        <v>69</v>
      </c>
      <c r="B77" s="32" t="s">
        <v>130</v>
      </c>
      <c r="C77" s="38" t="s">
        <v>74</v>
      </c>
      <c r="D77" s="114" t="s">
        <v>75</v>
      </c>
      <c r="E77" s="43">
        <f>'[1]Sch 120 Street &amp; Area Lighting'!G91</f>
        <v>6.4988000000000004E-2</v>
      </c>
      <c r="F77" s="243">
        <f t="shared" si="15"/>
        <v>3.0264822447495566E-3</v>
      </c>
      <c r="G77" s="244">
        <f>'[2]Lamp Inventory Pivot'!$D$53</f>
        <v>2016760</v>
      </c>
      <c r="H77" s="245">
        <f t="shared" si="16"/>
        <v>6103.6883319211156</v>
      </c>
    </row>
    <row r="78" spans="1:8" x14ac:dyDescent="0.2">
      <c r="A78" s="27">
        <f t="shared" si="18"/>
        <v>70</v>
      </c>
      <c r="B78" s="40"/>
      <c r="C78" s="38"/>
      <c r="D78" s="111"/>
      <c r="E78" s="242"/>
      <c r="F78" s="33"/>
      <c r="G78" s="244"/>
      <c r="H78" s="246"/>
    </row>
    <row r="79" spans="1:8" ht="13.5" x14ac:dyDescent="0.35">
      <c r="A79" s="27">
        <f t="shared" si="18"/>
        <v>71</v>
      </c>
      <c r="B79" s="67" t="s">
        <v>124</v>
      </c>
      <c r="C79" s="30"/>
      <c r="D79" s="112"/>
      <c r="E79" s="242"/>
      <c r="F79" s="33"/>
      <c r="G79" s="244"/>
      <c r="H79" s="246"/>
    </row>
    <row r="80" spans="1:8" x14ac:dyDescent="0.2">
      <c r="A80" s="27">
        <f t="shared" si="18"/>
        <v>72</v>
      </c>
      <c r="B80" s="32" t="s">
        <v>44</v>
      </c>
      <c r="C80" s="38" t="s">
        <v>17</v>
      </c>
      <c r="D80" s="111">
        <v>50</v>
      </c>
      <c r="E80" s="242">
        <f>'[1]Sch 120 Street &amp; Area Lighting'!G94</f>
        <v>1.1299999999999999</v>
      </c>
      <c r="F80" s="243">
        <f t="shared" ref="F80:F88" si="19">E80*$H$168</f>
        <v>5.2623944983181487E-2</v>
      </c>
      <c r="G80" s="244">
        <f>'[2]Lamp Inventory Pivot'!D54</f>
        <v>422</v>
      </c>
      <c r="H80" s="245">
        <f t="shared" ref="H80:H88" si="20">F80*G80</f>
        <v>22.207304782902586</v>
      </c>
    </row>
    <row r="81" spans="1:8" x14ac:dyDescent="0.2">
      <c r="A81" s="27">
        <f t="shared" si="18"/>
        <v>73</v>
      </c>
      <c r="B81" s="32" t="str">
        <f t="shared" ref="B81:B88" si="21">+B80</f>
        <v>54E</v>
      </c>
      <c r="C81" s="38" t="s">
        <v>17</v>
      </c>
      <c r="D81" s="111">
        <v>70</v>
      </c>
      <c r="E81" s="242">
        <f>'[1]Sch 120 Street &amp; Area Lighting'!G95</f>
        <v>1.6</v>
      </c>
      <c r="F81" s="243">
        <f t="shared" si="19"/>
        <v>7.4511780507159633E-2</v>
      </c>
      <c r="G81" s="244">
        <f>'[2]Lamp Inventory Pivot'!D55</f>
        <v>1778</v>
      </c>
      <c r="H81" s="245">
        <f t="shared" si="20"/>
        <v>132.48194574172982</v>
      </c>
    </row>
    <row r="82" spans="1:8" x14ac:dyDescent="0.2">
      <c r="A82" s="27">
        <f t="shared" si="18"/>
        <v>74</v>
      </c>
      <c r="B82" s="32" t="str">
        <f t="shared" si="21"/>
        <v>54E</v>
      </c>
      <c r="C82" s="38" t="s">
        <v>17</v>
      </c>
      <c r="D82" s="111">
        <v>100</v>
      </c>
      <c r="E82" s="242">
        <f>'[1]Sch 120 Street &amp; Area Lighting'!G96</f>
        <v>2.2799999999999998</v>
      </c>
      <c r="F82" s="243">
        <f t="shared" si="19"/>
        <v>0.10617928722270246</v>
      </c>
      <c r="G82" s="244">
        <f>'[2]Lamp Inventory Pivot'!D56</f>
        <v>9944</v>
      </c>
      <c r="H82" s="245">
        <f t="shared" si="20"/>
        <v>1055.8468321425532</v>
      </c>
    </row>
    <row r="83" spans="1:8" x14ac:dyDescent="0.2">
      <c r="A83" s="27">
        <f t="shared" si="18"/>
        <v>75</v>
      </c>
      <c r="B83" s="32" t="str">
        <f t="shared" si="21"/>
        <v>54E</v>
      </c>
      <c r="C83" s="38" t="s">
        <v>17</v>
      </c>
      <c r="D83" s="111">
        <v>150</v>
      </c>
      <c r="E83" s="242">
        <f>'[1]Sch 120 Street &amp; Area Lighting'!G97</f>
        <v>3.41</v>
      </c>
      <c r="F83" s="243">
        <f t="shared" si="19"/>
        <v>0.15880323220588397</v>
      </c>
      <c r="G83" s="244">
        <f>'[2]Lamp Inventory Pivot'!D57</f>
        <v>3449</v>
      </c>
      <c r="H83" s="245">
        <f t="shared" si="20"/>
        <v>547.71234787809385</v>
      </c>
    </row>
    <row r="84" spans="1:8" x14ac:dyDescent="0.2">
      <c r="A84" s="27">
        <f t="shared" si="18"/>
        <v>76</v>
      </c>
      <c r="B84" s="32" t="str">
        <f t="shared" si="21"/>
        <v>54E</v>
      </c>
      <c r="C84" s="38" t="s">
        <v>17</v>
      </c>
      <c r="D84" s="111">
        <v>200</v>
      </c>
      <c r="E84" s="242">
        <f>'[1]Sch 120 Street &amp; Area Lighting'!G98</f>
        <v>4.55</v>
      </c>
      <c r="F84" s="243">
        <f t="shared" si="19"/>
        <v>0.2118928758172352</v>
      </c>
      <c r="G84" s="244">
        <f>'[2]Lamp Inventory Pivot'!D58</f>
        <v>3300</v>
      </c>
      <c r="H84" s="245">
        <f t="shared" si="20"/>
        <v>699.24649019687615</v>
      </c>
    </row>
    <row r="85" spans="1:8" x14ac:dyDescent="0.2">
      <c r="A85" s="27">
        <f t="shared" si="18"/>
        <v>77</v>
      </c>
      <c r="B85" s="32" t="str">
        <f t="shared" si="21"/>
        <v>54E</v>
      </c>
      <c r="C85" s="38" t="s">
        <v>17</v>
      </c>
      <c r="D85" s="111">
        <v>250</v>
      </c>
      <c r="E85" s="242">
        <f>'[1]Sch 120 Street &amp; Area Lighting'!G99</f>
        <v>5.68</v>
      </c>
      <c r="F85" s="243">
        <f t="shared" si="19"/>
        <v>0.26451682080041666</v>
      </c>
      <c r="G85" s="244">
        <f>'[2]Lamp Inventory Pivot'!D59</f>
        <v>3581</v>
      </c>
      <c r="H85" s="245">
        <f t="shared" si="20"/>
        <v>947.23473528629211</v>
      </c>
    </row>
    <row r="86" spans="1:8" x14ac:dyDescent="0.2">
      <c r="A86" s="27">
        <f t="shared" si="18"/>
        <v>78</v>
      </c>
      <c r="B86" s="32" t="str">
        <f t="shared" si="21"/>
        <v>54E</v>
      </c>
      <c r="C86" s="38" t="s">
        <v>17</v>
      </c>
      <c r="D86" s="111">
        <v>310</v>
      </c>
      <c r="E86" s="242">
        <f>'[1]Sch 120 Street &amp; Area Lighting'!G100</f>
        <v>7.05</v>
      </c>
      <c r="F86" s="243">
        <f t="shared" si="19"/>
        <v>0.32831753285967213</v>
      </c>
      <c r="G86" s="244">
        <f>'[2]Lamp Inventory Pivot'!D60</f>
        <v>670</v>
      </c>
      <c r="H86" s="245">
        <f t="shared" si="20"/>
        <v>219.97274701598033</v>
      </c>
    </row>
    <row r="87" spans="1:8" x14ac:dyDescent="0.2">
      <c r="A87" s="27">
        <f t="shared" si="18"/>
        <v>79</v>
      </c>
      <c r="B87" s="32" t="str">
        <f t="shared" si="21"/>
        <v>54E</v>
      </c>
      <c r="C87" s="38" t="s">
        <v>17</v>
      </c>
      <c r="D87" s="111">
        <v>400</v>
      </c>
      <c r="E87" s="242">
        <f>'[1]Sch 120 Street &amp; Area Lighting'!G101</f>
        <v>9.1</v>
      </c>
      <c r="F87" s="243">
        <f t="shared" si="19"/>
        <v>0.42378575163447041</v>
      </c>
      <c r="G87" s="244">
        <f>'[2]Lamp Inventory Pivot'!D61</f>
        <v>6770</v>
      </c>
      <c r="H87" s="245">
        <f t="shared" si="20"/>
        <v>2869.0295385653649</v>
      </c>
    </row>
    <row r="88" spans="1:8" x14ac:dyDescent="0.2">
      <c r="A88" s="27">
        <f t="shared" si="18"/>
        <v>80</v>
      </c>
      <c r="B88" s="32" t="str">
        <f t="shared" si="21"/>
        <v>54E</v>
      </c>
      <c r="C88" s="38" t="s">
        <v>17</v>
      </c>
      <c r="D88" s="111">
        <v>1000</v>
      </c>
      <c r="E88" s="242">
        <f>'[1]Sch 120 Street &amp; Area Lighting'!G102</f>
        <v>22.74</v>
      </c>
      <c r="F88" s="243">
        <f t="shared" si="19"/>
        <v>1.0589986804580063</v>
      </c>
      <c r="G88" s="244">
        <v>0</v>
      </c>
      <c r="H88" s="245">
        <f t="shared" si="20"/>
        <v>0</v>
      </c>
    </row>
    <row r="89" spans="1:8" x14ac:dyDescent="0.2">
      <c r="A89" s="27">
        <f t="shared" si="18"/>
        <v>81</v>
      </c>
      <c r="B89" s="40"/>
      <c r="C89" s="38"/>
      <c r="D89" s="111"/>
      <c r="E89" s="242"/>
      <c r="F89" s="33"/>
      <c r="G89" s="244"/>
      <c r="H89" s="246"/>
    </row>
    <row r="90" spans="1:8" x14ac:dyDescent="0.2">
      <c r="A90" s="27">
        <f t="shared" si="18"/>
        <v>82</v>
      </c>
      <c r="B90" s="32" t="str">
        <f>+B87</f>
        <v>54E</v>
      </c>
      <c r="C90" s="38" t="s">
        <v>33</v>
      </c>
      <c r="D90" s="113" t="s">
        <v>77</v>
      </c>
      <c r="E90" s="242">
        <f>'[1]Sch 120 Street &amp; Area Lighting'!G104</f>
        <v>0.33999999999999997</v>
      </c>
      <c r="F90" s="243">
        <f t="shared" ref="F90:F99" si="22">E90*$H$168</f>
        <v>1.5833753357771419E-2</v>
      </c>
      <c r="G90" s="244">
        <f>'[2]Lamp Inventory Pivot'!D62</f>
        <v>2764</v>
      </c>
      <c r="H90" s="245">
        <f t="shared" ref="H90:H99" si="23">F90*G90</f>
        <v>43.7644942808802</v>
      </c>
    </row>
    <row r="91" spans="1:8" x14ac:dyDescent="0.2">
      <c r="A91" s="27">
        <f t="shared" si="18"/>
        <v>83</v>
      </c>
      <c r="B91" s="32" t="str">
        <f>+B88</f>
        <v>54E</v>
      </c>
      <c r="C91" s="38" t="s">
        <v>33</v>
      </c>
      <c r="D91" s="113" t="s">
        <v>78</v>
      </c>
      <c r="E91" s="242">
        <f>'[1]Sch 120 Street &amp; Area Lighting'!G105</f>
        <v>1.02</v>
      </c>
      <c r="F91" s="243">
        <f t="shared" si="22"/>
        <v>4.7501260073314268E-2</v>
      </c>
      <c r="G91" s="244">
        <f>'[2]Lamp Inventory Pivot'!D63</f>
        <v>31614</v>
      </c>
      <c r="H91" s="245">
        <f t="shared" si="23"/>
        <v>1501.7048359577573</v>
      </c>
    </row>
    <row r="92" spans="1:8" x14ac:dyDescent="0.2">
      <c r="A92" s="27">
        <f t="shared" si="18"/>
        <v>84</v>
      </c>
      <c r="B92" s="32" t="str">
        <f t="shared" ref="B92:B99" si="24">+B91</f>
        <v>54E</v>
      </c>
      <c r="C92" s="38" t="s">
        <v>33</v>
      </c>
      <c r="D92" s="111" t="s">
        <v>34</v>
      </c>
      <c r="E92" s="242">
        <f>'[1]Sch 120 Street &amp; Area Lighting'!G106</f>
        <v>1.7</v>
      </c>
      <c r="F92" s="243">
        <f t="shared" si="22"/>
        <v>7.9168766788857106E-2</v>
      </c>
      <c r="G92" s="244">
        <f>'[2]Lamp Inventory Pivot'!D64</f>
        <v>2651</v>
      </c>
      <c r="H92" s="245">
        <f t="shared" si="23"/>
        <v>209.8764007572602</v>
      </c>
    </row>
    <row r="93" spans="1:8" x14ac:dyDescent="0.2">
      <c r="A93" s="27">
        <f t="shared" si="18"/>
        <v>85</v>
      </c>
      <c r="B93" s="32" t="str">
        <f t="shared" si="24"/>
        <v>54E</v>
      </c>
      <c r="C93" s="38" t="s">
        <v>33</v>
      </c>
      <c r="D93" s="111" t="s">
        <v>35</v>
      </c>
      <c r="E93" s="242">
        <f>'[1]Sch 120 Street &amp; Area Lighting'!G107</f>
        <v>2.38</v>
      </c>
      <c r="F93" s="243">
        <f t="shared" si="22"/>
        <v>0.11083627350439995</v>
      </c>
      <c r="G93" s="244">
        <f>'[2]Lamp Inventory Pivot'!D65</f>
        <v>35407</v>
      </c>
      <c r="H93" s="245">
        <f t="shared" si="23"/>
        <v>3924.3799359702889</v>
      </c>
    </row>
    <row r="94" spans="1:8" x14ac:dyDescent="0.2">
      <c r="A94" s="27">
        <f t="shared" si="18"/>
        <v>86</v>
      </c>
      <c r="B94" s="32" t="str">
        <f t="shared" si="24"/>
        <v>54E</v>
      </c>
      <c r="C94" s="38" t="s">
        <v>33</v>
      </c>
      <c r="D94" s="111" t="s">
        <v>36</v>
      </c>
      <c r="E94" s="242">
        <f>'[1]Sch 120 Street &amp; Area Lighting'!G108</f>
        <v>3.0700000000000003</v>
      </c>
      <c r="F94" s="243">
        <f t="shared" si="22"/>
        <v>0.14296947884811256</v>
      </c>
      <c r="G94" s="244">
        <f>'[2]Lamp Inventory Pivot'!D66</f>
        <v>12747</v>
      </c>
      <c r="H94" s="245">
        <f t="shared" si="23"/>
        <v>1822.4319468768908</v>
      </c>
    </row>
    <row r="95" spans="1:8" x14ac:dyDescent="0.2">
      <c r="A95" s="27">
        <f t="shared" si="18"/>
        <v>87</v>
      </c>
      <c r="B95" s="32" t="str">
        <f t="shared" si="24"/>
        <v>54E</v>
      </c>
      <c r="C95" s="38" t="s">
        <v>33</v>
      </c>
      <c r="D95" s="111" t="s">
        <v>37</v>
      </c>
      <c r="E95" s="242">
        <f>'[1]Sch 120 Street &amp; Area Lighting'!G109</f>
        <v>3.75</v>
      </c>
      <c r="F95" s="243">
        <f t="shared" si="22"/>
        <v>0.17463698556365539</v>
      </c>
      <c r="G95" s="244">
        <f>'[2]Lamp Inventory Pivot'!D67</f>
        <v>5352</v>
      </c>
      <c r="H95" s="245">
        <f t="shared" si="23"/>
        <v>934.65714673668367</v>
      </c>
    </row>
    <row r="96" spans="1:8" x14ac:dyDescent="0.2">
      <c r="A96" s="27">
        <f t="shared" si="18"/>
        <v>88</v>
      </c>
      <c r="B96" s="32" t="str">
        <f t="shared" si="24"/>
        <v>54E</v>
      </c>
      <c r="C96" s="38" t="s">
        <v>33</v>
      </c>
      <c r="D96" s="111" t="s">
        <v>38</v>
      </c>
      <c r="E96" s="242">
        <f>'[1]Sch 120 Street &amp; Area Lighting'!G110</f>
        <v>4.43</v>
      </c>
      <c r="F96" s="243">
        <f t="shared" si="22"/>
        <v>0.20630449227919823</v>
      </c>
      <c r="G96" s="244">
        <f>'[2]Lamp Inventory Pivot'!D68</f>
        <v>1866</v>
      </c>
      <c r="H96" s="245">
        <f t="shared" si="23"/>
        <v>384.96418259298389</v>
      </c>
    </row>
    <row r="97" spans="1:8" x14ac:dyDescent="0.2">
      <c r="A97" s="27">
        <f t="shared" si="18"/>
        <v>89</v>
      </c>
      <c r="B97" s="32" t="str">
        <f t="shared" si="24"/>
        <v>54E</v>
      </c>
      <c r="C97" s="38" t="s">
        <v>33</v>
      </c>
      <c r="D97" s="111" t="s">
        <v>39</v>
      </c>
      <c r="E97" s="242">
        <f>'[1]Sch 120 Street &amp; Area Lighting'!G111</f>
        <v>5.12</v>
      </c>
      <c r="F97" s="243">
        <f t="shared" si="22"/>
        <v>0.23843769762291081</v>
      </c>
      <c r="G97" s="244">
        <f>'[2]Lamp Inventory Pivot'!D69</f>
        <v>468</v>
      </c>
      <c r="H97" s="245">
        <f t="shared" si="23"/>
        <v>111.58884248752226</v>
      </c>
    </row>
    <row r="98" spans="1:8" x14ac:dyDescent="0.2">
      <c r="A98" s="27">
        <f t="shared" si="18"/>
        <v>90</v>
      </c>
      <c r="B98" s="32" t="str">
        <f t="shared" si="24"/>
        <v>54E</v>
      </c>
      <c r="C98" s="38" t="s">
        <v>33</v>
      </c>
      <c r="D98" s="111" t="s">
        <v>40</v>
      </c>
      <c r="E98" s="242">
        <f>'[1]Sch 120 Street &amp; Area Lighting'!G112</f>
        <v>5.8</v>
      </c>
      <c r="F98" s="243">
        <f t="shared" si="22"/>
        <v>0.27010520433845364</v>
      </c>
      <c r="G98" s="244">
        <f>'[2]Lamp Inventory Pivot'!D70</f>
        <v>47</v>
      </c>
      <c r="H98" s="245">
        <f t="shared" si="23"/>
        <v>12.694944603907322</v>
      </c>
    </row>
    <row r="99" spans="1:8" x14ac:dyDescent="0.2">
      <c r="A99" s="27">
        <f t="shared" si="18"/>
        <v>91</v>
      </c>
      <c r="B99" s="32" t="str">
        <f t="shared" si="24"/>
        <v>54E</v>
      </c>
      <c r="C99" s="38" t="s">
        <v>33</v>
      </c>
      <c r="D99" s="111" t="s">
        <v>41</v>
      </c>
      <c r="E99" s="242">
        <f>'[1]Sch 120 Street &amp; Area Lighting'!G113</f>
        <v>6.48</v>
      </c>
      <c r="F99" s="243">
        <f t="shared" si="22"/>
        <v>0.3017727110539965</v>
      </c>
      <c r="G99" s="247">
        <v>0</v>
      </c>
      <c r="H99" s="245">
        <f t="shared" si="23"/>
        <v>0</v>
      </c>
    </row>
    <row r="100" spans="1:8" x14ac:dyDescent="0.2">
      <c r="A100" s="27">
        <f t="shared" si="18"/>
        <v>92</v>
      </c>
      <c r="B100" s="40"/>
      <c r="C100" s="38"/>
      <c r="D100" s="111"/>
      <c r="E100" s="242"/>
      <c r="F100" s="33"/>
      <c r="G100" s="244"/>
      <c r="H100" s="246"/>
    </row>
    <row r="101" spans="1:8" ht="13.5" x14ac:dyDescent="0.35">
      <c r="A101" s="27">
        <f t="shared" si="18"/>
        <v>93</v>
      </c>
      <c r="B101" s="67" t="s">
        <v>45</v>
      </c>
      <c r="C101" s="38"/>
      <c r="D101" s="111"/>
      <c r="E101" s="242"/>
      <c r="F101" s="33"/>
      <c r="G101" s="244"/>
      <c r="H101" s="246"/>
    </row>
    <row r="102" spans="1:8" x14ac:dyDescent="0.2">
      <c r="A102" s="27">
        <f t="shared" si="18"/>
        <v>94</v>
      </c>
      <c r="B102" s="32" t="s">
        <v>46</v>
      </c>
      <c r="C102" s="38" t="s">
        <v>17</v>
      </c>
      <c r="D102" s="111">
        <v>70</v>
      </c>
      <c r="E102" s="242">
        <f>'[1]Sch 120 Street &amp; Area Lighting'!G116</f>
        <v>1.6</v>
      </c>
      <c r="F102" s="243">
        <f t="shared" ref="F102:F107" si="25">E102*$H$168</f>
        <v>7.4511780507159633E-2</v>
      </c>
      <c r="G102" s="244">
        <f>'[2]Lamp Inventory Pivot'!D73</f>
        <v>163</v>
      </c>
      <c r="H102" s="245">
        <f t="shared" ref="H102:H107" si="26">F102*G102</f>
        <v>12.14542022266702</v>
      </c>
    </row>
    <row r="103" spans="1:8" x14ac:dyDescent="0.2">
      <c r="A103" s="27">
        <f t="shared" si="18"/>
        <v>95</v>
      </c>
      <c r="B103" s="40" t="str">
        <f>+B102</f>
        <v>55E &amp; 56E</v>
      </c>
      <c r="C103" s="38" t="s">
        <v>17</v>
      </c>
      <c r="D103" s="111">
        <v>100</v>
      </c>
      <c r="E103" s="242">
        <f>'[1]Sch 120 Street &amp; Area Lighting'!G117</f>
        <v>2.2799999999999998</v>
      </c>
      <c r="F103" s="243">
        <f t="shared" si="25"/>
        <v>0.10617928722270246</v>
      </c>
      <c r="G103" s="244">
        <f>'[2]Lamp Inventory Pivot'!D74</f>
        <v>40180</v>
      </c>
      <c r="H103" s="245">
        <f t="shared" si="26"/>
        <v>4266.2837606081848</v>
      </c>
    </row>
    <row r="104" spans="1:8" x14ac:dyDescent="0.2">
      <c r="A104" s="27">
        <f t="shared" si="18"/>
        <v>96</v>
      </c>
      <c r="B104" s="40" t="str">
        <f>+B103</f>
        <v>55E &amp; 56E</v>
      </c>
      <c r="C104" s="38" t="s">
        <v>17</v>
      </c>
      <c r="D104" s="111">
        <v>150</v>
      </c>
      <c r="E104" s="242">
        <f>'[1]Sch 120 Street &amp; Area Lighting'!G118</f>
        <v>3.42</v>
      </c>
      <c r="F104" s="243">
        <f t="shared" si="25"/>
        <v>0.15926893083405372</v>
      </c>
      <c r="G104" s="244">
        <f>'[2]Lamp Inventory Pivot'!D75</f>
        <v>5432</v>
      </c>
      <c r="H104" s="245">
        <f t="shared" si="26"/>
        <v>865.14883229057978</v>
      </c>
    </row>
    <row r="105" spans="1:8" x14ac:dyDescent="0.2">
      <c r="A105" s="27">
        <f t="shared" si="18"/>
        <v>97</v>
      </c>
      <c r="B105" s="40" t="str">
        <f>+B104</f>
        <v>55E &amp; 56E</v>
      </c>
      <c r="C105" s="38" t="s">
        <v>17</v>
      </c>
      <c r="D105" s="111">
        <v>200</v>
      </c>
      <c r="E105" s="242">
        <f>'[1]Sch 120 Street &amp; Area Lighting'!G119</f>
        <v>4.5599999999999996</v>
      </c>
      <c r="F105" s="243">
        <f t="shared" si="25"/>
        <v>0.21235857444540493</v>
      </c>
      <c r="G105" s="244">
        <f>'[2]Lamp Inventory Pivot'!D76</f>
        <v>11220</v>
      </c>
      <c r="H105" s="245">
        <f t="shared" si="26"/>
        <v>2382.6632052774435</v>
      </c>
    </row>
    <row r="106" spans="1:8" x14ac:dyDescent="0.2">
      <c r="A106" s="27">
        <f t="shared" ref="A106:A137" si="27">+A105+1</f>
        <v>98</v>
      </c>
      <c r="B106" s="40" t="str">
        <f>+B105</f>
        <v>55E &amp; 56E</v>
      </c>
      <c r="C106" s="38" t="s">
        <v>17</v>
      </c>
      <c r="D106" s="111">
        <v>250</v>
      </c>
      <c r="E106" s="242">
        <f>'[1]Sch 120 Street &amp; Area Lighting'!G120</f>
        <v>5.6999999999999993</v>
      </c>
      <c r="F106" s="243">
        <f t="shared" si="25"/>
        <v>0.26544821805675617</v>
      </c>
      <c r="G106" s="244">
        <f>'[2]Lamp Inventory Pivot'!D77</f>
        <v>1183</v>
      </c>
      <c r="H106" s="245">
        <f t="shared" si="26"/>
        <v>314.02524196114257</v>
      </c>
    </row>
    <row r="107" spans="1:8" x14ac:dyDescent="0.2">
      <c r="A107" s="27">
        <f t="shared" si="27"/>
        <v>99</v>
      </c>
      <c r="B107" s="40" t="str">
        <f>+B106</f>
        <v>55E &amp; 56E</v>
      </c>
      <c r="C107" s="38" t="s">
        <v>17</v>
      </c>
      <c r="D107" s="111">
        <v>400</v>
      </c>
      <c r="E107" s="242">
        <f>'[1]Sch 120 Street &amp; Area Lighting'!G121</f>
        <v>9.1199999999999992</v>
      </c>
      <c r="F107" s="243">
        <f t="shared" si="25"/>
        <v>0.42471714889080986</v>
      </c>
      <c r="G107" s="244">
        <f>'[2]Lamp Inventory Pivot'!D78</f>
        <v>414</v>
      </c>
      <c r="H107" s="245">
        <f t="shared" si="26"/>
        <v>175.83289964079529</v>
      </c>
    </row>
    <row r="108" spans="1:8" x14ac:dyDescent="0.2">
      <c r="A108" s="27">
        <f t="shared" si="27"/>
        <v>100</v>
      </c>
      <c r="B108" s="40"/>
      <c r="C108" s="38"/>
      <c r="D108" s="111"/>
      <c r="E108" s="242"/>
      <c r="F108" s="33"/>
      <c r="G108" s="244"/>
      <c r="H108" s="246"/>
    </row>
    <row r="109" spans="1:8" x14ac:dyDescent="0.2">
      <c r="A109" s="27">
        <f t="shared" si="27"/>
        <v>101</v>
      </c>
      <c r="B109" s="40" t="str">
        <f>+B107</f>
        <v>55E &amp; 56E</v>
      </c>
      <c r="C109" s="38" t="s">
        <v>43</v>
      </c>
      <c r="D109" s="111">
        <v>250</v>
      </c>
      <c r="E109" s="242">
        <f>'[1]Sch 120 Street &amp; Area Lighting'!G123</f>
        <v>5.6999999999999993</v>
      </c>
      <c r="F109" s="243">
        <f>E109*$H$168</f>
        <v>0.26544821805675617</v>
      </c>
      <c r="G109" s="244">
        <f>'[2]Lamp Inventory Pivot'!$D$79</f>
        <v>80</v>
      </c>
      <c r="H109" s="245">
        <f>F109*G109</f>
        <v>21.235857444540493</v>
      </c>
    </row>
    <row r="110" spans="1:8" x14ac:dyDescent="0.2">
      <c r="A110" s="27">
        <f t="shared" si="27"/>
        <v>102</v>
      </c>
      <c r="B110" s="40"/>
      <c r="C110" s="38"/>
      <c r="D110" s="111"/>
      <c r="E110" s="242"/>
      <c r="F110" s="33"/>
      <c r="G110" s="244"/>
      <c r="H110" s="246"/>
    </row>
    <row r="111" spans="1:8" x14ac:dyDescent="0.2">
      <c r="A111" s="27">
        <f t="shared" si="27"/>
        <v>103</v>
      </c>
      <c r="B111" s="40" t="s">
        <v>46</v>
      </c>
      <c r="C111" s="38" t="s">
        <v>33</v>
      </c>
      <c r="D111" s="112" t="s">
        <v>76</v>
      </c>
      <c r="E111" s="242">
        <f>'[1]Sch 120 Street &amp; Area Lighting'!G125</f>
        <v>0.35</v>
      </c>
      <c r="F111" s="243">
        <f t="shared" ref="F111:F120" si="28">E111*$H$168</f>
        <v>1.6299451985941169E-2</v>
      </c>
      <c r="G111" s="244">
        <f>'[2]Lamp Inventory Pivot'!D80</f>
        <v>41</v>
      </c>
      <c r="H111" s="245">
        <f t="shared" ref="H111:H120" si="29">F111*G111</f>
        <v>0.66827753142358792</v>
      </c>
    </row>
    <row r="112" spans="1:8" x14ac:dyDescent="0.2">
      <c r="A112" s="27">
        <f t="shared" si="27"/>
        <v>104</v>
      </c>
      <c r="B112" s="40" t="s">
        <v>46</v>
      </c>
      <c r="C112" s="38" t="s">
        <v>33</v>
      </c>
      <c r="D112" s="113" t="s">
        <v>78</v>
      </c>
      <c r="E112" s="242">
        <f>'[1]Sch 120 Street &amp; Area Lighting'!G126</f>
        <v>1.03</v>
      </c>
      <c r="F112" s="243">
        <f t="shared" si="28"/>
        <v>4.7966958701484014E-2</v>
      </c>
      <c r="G112" s="244">
        <f>'[2]Lamp Inventory Pivot'!D81</f>
        <v>9512</v>
      </c>
      <c r="H112" s="245">
        <f t="shared" si="29"/>
        <v>456.26171116851594</v>
      </c>
    </row>
    <row r="113" spans="1:8" x14ac:dyDescent="0.2">
      <c r="A113" s="27">
        <f t="shared" si="27"/>
        <v>105</v>
      </c>
      <c r="B113" s="40" t="s">
        <v>46</v>
      </c>
      <c r="C113" s="38" t="s">
        <v>33</v>
      </c>
      <c r="D113" s="111" t="s">
        <v>34</v>
      </c>
      <c r="E113" s="242">
        <f>'[1]Sch 120 Street &amp; Area Lighting'!G127</f>
        <v>1.71</v>
      </c>
      <c r="F113" s="243">
        <f t="shared" si="28"/>
        <v>7.9634465417026859E-2</v>
      </c>
      <c r="G113" s="244">
        <f>'[2]Lamp Inventory Pivot'!D82</f>
        <v>404</v>
      </c>
      <c r="H113" s="245">
        <f t="shared" si="29"/>
        <v>32.172324028478855</v>
      </c>
    </row>
    <row r="114" spans="1:8" x14ac:dyDescent="0.2">
      <c r="A114" s="27">
        <f t="shared" si="27"/>
        <v>106</v>
      </c>
      <c r="B114" s="40" t="s">
        <v>46</v>
      </c>
      <c r="C114" s="38" t="s">
        <v>33</v>
      </c>
      <c r="D114" s="111" t="s">
        <v>35</v>
      </c>
      <c r="E114" s="242">
        <f>'[1]Sch 120 Street &amp; Area Lighting'!G128</f>
        <v>2.39</v>
      </c>
      <c r="F114" s="243">
        <f t="shared" si="28"/>
        <v>0.1113019721325697</v>
      </c>
      <c r="G114" s="244">
        <f>'[2]Lamp Inventory Pivot'!D83</f>
        <v>2079</v>
      </c>
      <c r="H114" s="245">
        <f t="shared" si="29"/>
        <v>231.3968000636124</v>
      </c>
    </row>
    <row r="115" spans="1:8" x14ac:dyDescent="0.2">
      <c r="A115" s="27">
        <f t="shared" si="27"/>
        <v>107</v>
      </c>
      <c r="B115" s="40" t="s">
        <v>46</v>
      </c>
      <c r="C115" s="38" t="s">
        <v>33</v>
      </c>
      <c r="D115" s="111" t="s">
        <v>36</v>
      </c>
      <c r="E115" s="242">
        <f>'[1]Sch 120 Street &amp; Area Lighting'!G129</f>
        <v>3.08</v>
      </c>
      <c r="F115" s="243">
        <f t="shared" si="28"/>
        <v>0.14343517747628229</v>
      </c>
      <c r="G115" s="244">
        <v>0</v>
      </c>
      <c r="H115" s="245">
        <f t="shared" si="29"/>
        <v>0</v>
      </c>
    </row>
    <row r="116" spans="1:8" x14ac:dyDescent="0.2">
      <c r="A116" s="27">
        <f t="shared" si="27"/>
        <v>108</v>
      </c>
      <c r="B116" s="40" t="s">
        <v>46</v>
      </c>
      <c r="C116" s="38" t="s">
        <v>33</v>
      </c>
      <c r="D116" s="111" t="s">
        <v>37</v>
      </c>
      <c r="E116" s="242">
        <f>'[1]Sch 120 Street &amp; Area Lighting'!G130</f>
        <v>3.76</v>
      </c>
      <c r="F116" s="243">
        <f t="shared" si="28"/>
        <v>0.17510268419182512</v>
      </c>
      <c r="G116" s="244">
        <v>0</v>
      </c>
      <c r="H116" s="245">
        <f t="shared" si="29"/>
        <v>0</v>
      </c>
    </row>
    <row r="117" spans="1:8" x14ac:dyDescent="0.2">
      <c r="A117" s="27">
        <f t="shared" si="27"/>
        <v>109</v>
      </c>
      <c r="B117" s="40" t="s">
        <v>46</v>
      </c>
      <c r="C117" s="38" t="s">
        <v>33</v>
      </c>
      <c r="D117" s="111" t="s">
        <v>38</v>
      </c>
      <c r="E117" s="242">
        <f>'[1]Sch 120 Street &amp; Area Lighting'!G131</f>
        <v>4.4400000000000004</v>
      </c>
      <c r="F117" s="243">
        <f t="shared" si="28"/>
        <v>0.20677019090736801</v>
      </c>
      <c r="G117" s="244">
        <v>0</v>
      </c>
      <c r="H117" s="245">
        <f t="shared" si="29"/>
        <v>0</v>
      </c>
    </row>
    <row r="118" spans="1:8" x14ac:dyDescent="0.2">
      <c r="A118" s="27">
        <f t="shared" si="27"/>
        <v>110</v>
      </c>
      <c r="B118" s="40" t="s">
        <v>46</v>
      </c>
      <c r="C118" s="38" t="s">
        <v>33</v>
      </c>
      <c r="D118" s="111" t="s">
        <v>39</v>
      </c>
      <c r="E118" s="242">
        <f>'[1]Sch 120 Street &amp; Area Lighting'!G132</f>
        <v>5.13</v>
      </c>
      <c r="F118" s="243">
        <f t="shared" si="28"/>
        <v>0.23890339625108056</v>
      </c>
      <c r="G118" s="244">
        <v>0</v>
      </c>
      <c r="H118" s="245">
        <f t="shared" si="29"/>
        <v>0</v>
      </c>
    </row>
    <row r="119" spans="1:8" x14ac:dyDescent="0.2">
      <c r="A119" s="27">
        <f t="shared" si="27"/>
        <v>111</v>
      </c>
      <c r="B119" s="40" t="s">
        <v>46</v>
      </c>
      <c r="C119" s="38" t="s">
        <v>33</v>
      </c>
      <c r="D119" s="111" t="s">
        <v>40</v>
      </c>
      <c r="E119" s="242">
        <f>'[1]Sch 120 Street &amp; Area Lighting'!G133</f>
        <v>5.8100000000000005</v>
      </c>
      <c r="F119" s="243">
        <f t="shared" si="28"/>
        <v>0.27057090296662345</v>
      </c>
      <c r="G119" s="244">
        <v>0</v>
      </c>
      <c r="H119" s="245">
        <f t="shared" si="29"/>
        <v>0</v>
      </c>
    </row>
    <row r="120" spans="1:8" x14ac:dyDescent="0.2">
      <c r="A120" s="27">
        <f t="shared" si="27"/>
        <v>112</v>
      </c>
      <c r="B120" s="40" t="s">
        <v>46</v>
      </c>
      <c r="C120" s="38" t="s">
        <v>33</v>
      </c>
      <c r="D120" s="111" t="s">
        <v>41</v>
      </c>
      <c r="E120" s="242">
        <f>'[1]Sch 120 Street &amp; Area Lighting'!G134</f>
        <v>6.5</v>
      </c>
      <c r="F120" s="243">
        <f t="shared" si="28"/>
        <v>0.30270410831033601</v>
      </c>
      <c r="G120" s="244">
        <v>0</v>
      </c>
      <c r="H120" s="245">
        <f t="shared" si="29"/>
        <v>0</v>
      </c>
    </row>
    <row r="121" spans="1:8" x14ac:dyDescent="0.2">
      <c r="A121" s="27">
        <f t="shared" si="27"/>
        <v>113</v>
      </c>
      <c r="B121" s="40"/>
      <c r="C121" s="38"/>
      <c r="D121" s="111"/>
      <c r="E121" s="242"/>
      <c r="F121" s="33"/>
      <c r="G121" s="244"/>
      <c r="H121" s="246"/>
    </row>
    <row r="122" spans="1:8" ht="13.5" x14ac:dyDescent="0.35">
      <c r="A122" s="27">
        <f t="shared" si="27"/>
        <v>114</v>
      </c>
      <c r="B122" s="67" t="s">
        <v>57</v>
      </c>
      <c r="C122" s="38"/>
      <c r="D122" s="111"/>
      <c r="E122" s="242"/>
      <c r="F122" s="33"/>
      <c r="G122" s="244"/>
      <c r="H122" s="246"/>
    </row>
    <row r="123" spans="1:8" x14ac:dyDescent="0.2">
      <c r="A123" s="27">
        <f t="shared" si="27"/>
        <v>115</v>
      </c>
      <c r="B123" s="40" t="s">
        <v>58</v>
      </c>
      <c r="C123" s="38" t="s">
        <v>59</v>
      </c>
      <c r="D123" s="115">
        <v>0</v>
      </c>
      <c r="E123" s="263">
        <f>'[1]Sch 120 Street &amp; Area Lighting'!G137</f>
        <v>4.2689999999999999E-2</v>
      </c>
      <c r="F123" s="249">
        <f>E123*$H$168</f>
        <v>1.9880674436566527E-3</v>
      </c>
      <c r="G123" s="244">
        <f>'[2]Lamp Inventory Pivot'!$D$84</f>
        <v>5266504</v>
      </c>
      <c r="H123" s="245">
        <f>F123*G123</f>
        <v>10470.165144287535</v>
      </c>
    </row>
    <row r="124" spans="1:8" x14ac:dyDescent="0.2">
      <c r="A124" s="27">
        <f t="shared" si="27"/>
        <v>116</v>
      </c>
      <c r="B124" s="40"/>
      <c r="C124" s="38"/>
      <c r="D124" s="111"/>
      <c r="E124" s="242"/>
      <c r="F124" s="33"/>
      <c r="G124" s="244"/>
      <c r="H124" s="246"/>
    </row>
    <row r="125" spans="1:8" ht="13.5" x14ac:dyDescent="0.35">
      <c r="A125" s="27">
        <f t="shared" si="27"/>
        <v>117</v>
      </c>
      <c r="B125" s="67" t="s">
        <v>47</v>
      </c>
      <c r="C125" s="38"/>
      <c r="D125" s="111"/>
      <c r="E125" s="242"/>
      <c r="F125" s="33"/>
      <c r="G125" s="244"/>
      <c r="H125" s="246"/>
    </row>
    <row r="126" spans="1:8" x14ac:dyDescent="0.2">
      <c r="A126" s="27">
        <f t="shared" si="27"/>
        <v>118</v>
      </c>
      <c r="B126" s="32" t="s">
        <v>48</v>
      </c>
      <c r="C126" s="38" t="s">
        <v>17</v>
      </c>
      <c r="D126" s="111">
        <v>70</v>
      </c>
      <c r="E126" s="242">
        <f>'[1]Sch 120 Street &amp; Area Lighting'!G140</f>
        <v>1.6</v>
      </c>
      <c r="F126" s="243">
        <f t="shared" ref="F126:F131" si="30">E126*$H$168</f>
        <v>7.4511780507159633E-2</v>
      </c>
      <c r="G126" s="244">
        <f>'[2]Lamp Inventory Pivot'!D87</f>
        <v>584</v>
      </c>
      <c r="H126" s="245">
        <f t="shared" ref="H126:H162" si="31">F126*G126</f>
        <v>43.514879816181228</v>
      </c>
    </row>
    <row r="127" spans="1:8" x14ac:dyDescent="0.2">
      <c r="A127" s="27">
        <f t="shared" si="27"/>
        <v>119</v>
      </c>
      <c r="B127" s="40" t="str">
        <f>+B126</f>
        <v>58E &amp; 59E - Directional</v>
      </c>
      <c r="C127" s="38" t="s">
        <v>17</v>
      </c>
      <c r="D127" s="111">
        <v>100</v>
      </c>
      <c r="E127" s="242">
        <f>'[1]Sch 120 Street &amp; Area Lighting'!G141</f>
        <v>2.2799999999999998</v>
      </c>
      <c r="F127" s="243">
        <f t="shared" si="30"/>
        <v>0.10617928722270246</v>
      </c>
      <c r="G127" s="244">
        <f>'[2]Lamp Inventory Pivot'!D88</f>
        <v>119</v>
      </c>
      <c r="H127" s="245">
        <f t="shared" si="31"/>
        <v>12.635335179501594</v>
      </c>
    </row>
    <row r="128" spans="1:8" x14ac:dyDescent="0.2">
      <c r="A128" s="27">
        <f t="shared" si="27"/>
        <v>120</v>
      </c>
      <c r="B128" s="40" t="str">
        <f>+B127</f>
        <v>58E &amp; 59E - Directional</v>
      </c>
      <c r="C128" s="38" t="s">
        <v>17</v>
      </c>
      <c r="D128" s="111">
        <v>150</v>
      </c>
      <c r="E128" s="242">
        <f>'[1]Sch 120 Street &amp; Area Lighting'!G142</f>
        <v>3.42</v>
      </c>
      <c r="F128" s="243">
        <f t="shared" si="30"/>
        <v>0.15926893083405372</v>
      </c>
      <c r="G128" s="244">
        <f>'[2]Lamp Inventory Pivot'!D89</f>
        <v>1635</v>
      </c>
      <c r="H128" s="245">
        <f t="shared" si="31"/>
        <v>260.40470191367785</v>
      </c>
    </row>
    <row r="129" spans="1:8" x14ac:dyDescent="0.2">
      <c r="A129" s="27">
        <f t="shared" si="27"/>
        <v>121</v>
      </c>
      <c r="B129" s="40" t="str">
        <f>+B128</f>
        <v>58E &amp; 59E - Directional</v>
      </c>
      <c r="C129" s="38" t="s">
        <v>17</v>
      </c>
      <c r="D129" s="111">
        <v>200</v>
      </c>
      <c r="E129" s="242">
        <f>'[1]Sch 120 Street &amp; Area Lighting'!G143</f>
        <v>4.5599999999999996</v>
      </c>
      <c r="F129" s="243">
        <f t="shared" si="30"/>
        <v>0.21235857444540493</v>
      </c>
      <c r="G129" s="244">
        <f>'[2]Lamp Inventory Pivot'!D90</f>
        <v>2918</v>
      </c>
      <c r="H129" s="245">
        <f t="shared" si="31"/>
        <v>619.66232023169164</v>
      </c>
    </row>
    <row r="130" spans="1:8" x14ac:dyDescent="0.2">
      <c r="A130" s="27">
        <f t="shared" si="27"/>
        <v>122</v>
      </c>
      <c r="B130" s="40" t="str">
        <f>+B129</f>
        <v>58E &amp; 59E - Directional</v>
      </c>
      <c r="C130" s="38" t="s">
        <v>17</v>
      </c>
      <c r="D130" s="111">
        <v>250</v>
      </c>
      <c r="E130" s="242">
        <f>'[1]Sch 120 Street &amp; Area Lighting'!G144</f>
        <v>5.6999999999999993</v>
      </c>
      <c r="F130" s="243">
        <f t="shared" si="30"/>
        <v>0.26544821805675617</v>
      </c>
      <c r="G130" s="244">
        <f>'[2]Lamp Inventory Pivot'!D91</f>
        <v>441</v>
      </c>
      <c r="H130" s="245">
        <f t="shared" si="31"/>
        <v>117.06266416302947</v>
      </c>
    </row>
    <row r="131" spans="1:8" x14ac:dyDescent="0.2">
      <c r="A131" s="27">
        <f t="shared" si="27"/>
        <v>123</v>
      </c>
      <c r="B131" s="40" t="str">
        <f>+B130</f>
        <v>58E &amp; 59E - Directional</v>
      </c>
      <c r="C131" s="38" t="s">
        <v>17</v>
      </c>
      <c r="D131" s="111">
        <v>400</v>
      </c>
      <c r="E131" s="242">
        <f>'[1]Sch 120 Street &amp; Area Lighting'!G145</f>
        <v>9.1199999999999992</v>
      </c>
      <c r="F131" s="243">
        <f t="shared" si="30"/>
        <v>0.42471714889080986</v>
      </c>
      <c r="G131" s="244">
        <f>'[2]Lamp Inventory Pivot'!D92</f>
        <v>3843</v>
      </c>
      <c r="H131" s="245">
        <f t="shared" si="31"/>
        <v>1632.1880031873823</v>
      </c>
    </row>
    <row r="132" spans="1:8" x14ac:dyDescent="0.2">
      <c r="A132" s="27">
        <f t="shared" si="27"/>
        <v>124</v>
      </c>
      <c r="B132" s="40"/>
      <c r="C132" s="38"/>
      <c r="D132" s="111"/>
      <c r="E132" s="242"/>
      <c r="F132" s="33"/>
      <c r="G132" s="244"/>
      <c r="H132" s="246"/>
    </row>
    <row r="133" spans="1:8" x14ac:dyDescent="0.2">
      <c r="A133" s="27">
        <f t="shared" si="27"/>
        <v>125</v>
      </c>
      <c r="B133" s="32" t="s">
        <v>49</v>
      </c>
      <c r="C133" s="38" t="s">
        <v>17</v>
      </c>
      <c r="D133" s="111">
        <v>100</v>
      </c>
      <c r="E133" s="242">
        <f>'[1]Sch 120 Street &amp; Area Lighting'!G147</f>
        <v>2.2799999999999998</v>
      </c>
      <c r="F133" s="243">
        <f>E133*$H$168</f>
        <v>0.10617928722270246</v>
      </c>
      <c r="G133" s="247">
        <v>0</v>
      </c>
      <c r="H133" s="245">
        <f t="shared" si="31"/>
        <v>0</v>
      </c>
    </row>
    <row r="134" spans="1:8" x14ac:dyDescent="0.2">
      <c r="A134" s="27">
        <f t="shared" si="27"/>
        <v>126</v>
      </c>
      <c r="B134" s="40" t="str">
        <f>B133</f>
        <v>58E &amp; 59E - Horizontal</v>
      </c>
      <c r="C134" s="38" t="s">
        <v>17</v>
      </c>
      <c r="D134" s="111">
        <v>150</v>
      </c>
      <c r="E134" s="242">
        <f>'[1]Sch 120 Street &amp; Area Lighting'!G148</f>
        <v>3.42</v>
      </c>
      <c r="F134" s="243">
        <f>E134*$H$168</f>
        <v>0.15926893083405372</v>
      </c>
      <c r="G134" s="244">
        <f>'[2]Lamp Inventory Pivot'!D93</f>
        <v>163</v>
      </c>
      <c r="H134" s="245">
        <f t="shared" si="31"/>
        <v>25.960835725950755</v>
      </c>
    </row>
    <row r="135" spans="1:8" x14ac:dyDescent="0.2">
      <c r="A135" s="27">
        <f t="shared" si="27"/>
        <v>127</v>
      </c>
      <c r="B135" s="40" t="str">
        <f>B134</f>
        <v>58E &amp; 59E - Horizontal</v>
      </c>
      <c r="C135" s="38" t="s">
        <v>17</v>
      </c>
      <c r="D135" s="111">
        <v>200</v>
      </c>
      <c r="E135" s="242">
        <f>'[1]Sch 120 Street &amp; Area Lighting'!G149</f>
        <v>4.5599999999999996</v>
      </c>
      <c r="F135" s="243">
        <f>E135*$H$168</f>
        <v>0.21235857444540493</v>
      </c>
      <c r="G135" s="244">
        <f>'[2]Lamp Inventory Pivot'!D94</f>
        <v>82</v>
      </c>
      <c r="H135" s="245">
        <f t="shared" si="31"/>
        <v>17.413403104523205</v>
      </c>
    </row>
    <row r="136" spans="1:8" x14ac:dyDescent="0.2">
      <c r="A136" s="27">
        <f t="shared" si="27"/>
        <v>128</v>
      </c>
      <c r="B136" s="40" t="str">
        <f>B135</f>
        <v>58E &amp; 59E - Horizontal</v>
      </c>
      <c r="C136" s="38" t="s">
        <v>17</v>
      </c>
      <c r="D136" s="111">
        <v>250</v>
      </c>
      <c r="E136" s="242">
        <f>'[1]Sch 120 Street &amp; Area Lighting'!G150</f>
        <v>5.6999999999999993</v>
      </c>
      <c r="F136" s="243">
        <f>E136*$H$168</f>
        <v>0.26544821805675617</v>
      </c>
      <c r="G136" s="244">
        <f>'[2]Lamp Inventory Pivot'!D95</f>
        <v>358</v>
      </c>
      <c r="H136" s="245">
        <f t="shared" si="31"/>
        <v>95.030462064318712</v>
      </c>
    </row>
    <row r="137" spans="1:8" x14ac:dyDescent="0.2">
      <c r="A137" s="27">
        <f t="shared" si="27"/>
        <v>129</v>
      </c>
      <c r="B137" s="40" t="str">
        <f>B136</f>
        <v>58E &amp; 59E - Horizontal</v>
      </c>
      <c r="C137" s="38" t="s">
        <v>17</v>
      </c>
      <c r="D137" s="111">
        <v>400</v>
      </c>
      <c r="E137" s="242">
        <f>'[1]Sch 120 Street &amp; Area Lighting'!G151</f>
        <v>9.1199999999999992</v>
      </c>
      <c r="F137" s="243">
        <f>E137*$H$168</f>
        <v>0.42471714889080986</v>
      </c>
      <c r="G137" s="244">
        <f>'[2]Lamp Inventory Pivot'!D96</f>
        <v>523</v>
      </c>
      <c r="H137" s="245">
        <f t="shared" si="31"/>
        <v>222.12706886989355</v>
      </c>
    </row>
    <row r="138" spans="1:8" x14ac:dyDescent="0.2">
      <c r="A138" s="27">
        <f t="shared" ref="A138:A170" si="32">+A137+1</f>
        <v>130</v>
      </c>
      <c r="B138" s="40"/>
      <c r="C138" s="38"/>
      <c r="D138" s="111"/>
      <c r="E138" s="242"/>
      <c r="F138" s="33"/>
      <c r="G138" s="244"/>
      <c r="H138" s="246"/>
    </row>
    <row r="139" spans="1:8" x14ac:dyDescent="0.2">
      <c r="A139" s="27">
        <f t="shared" si="32"/>
        <v>131</v>
      </c>
      <c r="B139" s="40" t="str">
        <f>B127</f>
        <v>58E &amp; 59E - Directional</v>
      </c>
      <c r="C139" s="38" t="s">
        <v>43</v>
      </c>
      <c r="D139" s="111">
        <v>175</v>
      </c>
      <c r="E139" s="242">
        <f>'[1]Sch 120 Street &amp; Area Lighting'!G153</f>
        <v>3.9899999999999998</v>
      </c>
      <c r="F139" s="243">
        <f>E139*$H$168</f>
        <v>0.18581375263972932</v>
      </c>
      <c r="G139" s="244">
        <f>'[2]Lamp Inventory Pivot'!D97</f>
        <v>36</v>
      </c>
      <c r="H139" s="245">
        <f t="shared" si="31"/>
        <v>6.6892950950302552</v>
      </c>
    </row>
    <row r="140" spans="1:8" x14ac:dyDescent="0.2">
      <c r="A140" s="27">
        <f t="shared" si="32"/>
        <v>132</v>
      </c>
      <c r="B140" s="40" t="str">
        <f>B139</f>
        <v>58E &amp; 59E - Directional</v>
      </c>
      <c r="C140" s="38" t="s">
        <v>43</v>
      </c>
      <c r="D140" s="111">
        <v>250</v>
      </c>
      <c r="E140" s="242">
        <f>'[1]Sch 120 Street &amp; Area Lighting'!G154</f>
        <v>5.6999999999999993</v>
      </c>
      <c r="F140" s="243">
        <f>E140*$H$168</f>
        <v>0.26544821805675617</v>
      </c>
      <c r="G140" s="244">
        <f>'[2]Lamp Inventory Pivot'!D98</f>
        <v>173</v>
      </c>
      <c r="H140" s="245">
        <f t="shared" si="31"/>
        <v>45.922541723818817</v>
      </c>
    </row>
    <row r="141" spans="1:8" x14ac:dyDescent="0.2">
      <c r="A141" s="27">
        <f t="shared" si="32"/>
        <v>133</v>
      </c>
      <c r="B141" s="40" t="str">
        <f>B140</f>
        <v>58E &amp; 59E - Directional</v>
      </c>
      <c r="C141" s="38" t="s">
        <v>43</v>
      </c>
      <c r="D141" s="111">
        <v>400</v>
      </c>
      <c r="E141" s="242">
        <f>'[1]Sch 120 Street &amp; Area Lighting'!G155</f>
        <v>9.1199999999999992</v>
      </c>
      <c r="F141" s="243">
        <f>E141*$H$168</f>
        <v>0.42471714889080986</v>
      </c>
      <c r="G141" s="244">
        <f>'[2]Lamp Inventory Pivot'!D99</f>
        <v>907</v>
      </c>
      <c r="H141" s="245">
        <f t="shared" si="31"/>
        <v>385.21845404396453</v>
      </c>
    </row>
    <row r="142" spans="1:8" x14ac:dyDescent="0.2">
      <c r="A142" s="27">
        <f t="shared" si="32"/>
        <v>134</v>
      </c>
      <c r="B142" s="40" t="str">
        <f>B141</f>
        <v>58E &amp; 59E - Directional</v>
      </c>
      <c r="C142" s="38" t="s">
        <v>43</v>
      </c>
      <c r="D142" s="111">
        <v>1000</v>
      </c>
      <c r="E142" s="242">
        <f>'[1]Sch 120 Street &amp; Area Lighting'!G156</f>
        <v>22.79</v>
      </c>
      <c r="F142" s="243">
        <f>E142*$H$168</f>
        <v>1.061327173598855</v>
      </c>
      <c r="G142" s="244">
        <f>'[2]Lamp Inventory Pivot'!D100</f>
        <v>1361</v>
      </c>
      <c r="H142" s="245">
        <f t="shared" si="31"/>
        <v>1444.4662832680417</v>
      </c>
    </row>
    <row r="143" spans="1:8" x14ac:dyDescent="0.2">
      <c r="A143" s="27">
        <f t="shared" si="32"/>
        <v>135</v>
      </c>
      <c r="B143" s="40"/>
      <c r="C143" s="38"/>
      <c r="D143" s="111"/>
      <c r="E143" s="242"/>
      <c r="F143" s="33"/>
      <c r="G143" s="244"/>
      <c r="H143" s="246"/>
    </row>
    <row r="144" spans="1:8" x14ac:dyDescent="0.2">
      <c r="A144" s="27">
        <f t="shared" si="32"/>
        <v>136</v>
      </c>
      <c r="B144" s="40" t="str">
        <f>B133</f>
        <v>58E &amp; 59E - Horizontal</v>
      </c>
      <c r="C144" s="38" t="s">
        <v>43</v>
      </c>
      <c r="D144" s="111">
        <v>250</v>
      </c>
      <c r="E144" s="242">
        <f>'[1]Sch 120 Street &amp; Area Lighting'!G158</f>
        <v>5.6999999999999993</v>
      </c>
      <c r="F144" s="243">
        <f>E144*$H$168</f>
        <v>0.26544821805675617</v>
      </c>
      <c r="G144" s="244">
        <f>'[2]Lamp Inventory Pivot'!D101</f>
        <v>43</v>
      </c>
      <c r="H144" s="245">
        <f t="shared" si="31"/>
        <v>11.414273376440516</v>
      </c>
    </row>
    <row r="145" spans="1:8" x14ac:dyDescent="0.2">
      <c r="A145" s="27">
        <f t="shared" si="32"/>
        <v>137</v>
      </c>
      <c r="B145" s="40" t="str">
        <f>B144</f>
        <v>58E &amp; 59E - Horizontal</v>
      </c>
      <c r="C145" s="38" t="s">
        <v>43</v>
      </c>
      <c r="D145" s="111">
        <v>400</v>
      </c>
      <c r="E145" s="242">
        <f>'[1]Sch 120 Street &amp; Area Lighting'!G159</f>
        <v>9.1199999999999992</v>
      </c>
      <c r="F145" s="243">
        <f>E145*$H$168</f>
        <v>0.42471714889080986</v>
      </c>
      <c r="G145" s="244">
        <f>'[2]Lamp Inventory Pivot'!D102</f>
        <v>455</v>
      </c>
      <c r="H145" s="245">
        <f t="shared" si="31"/>
        <v>193.24630274531847</v>
      </c>
    </row>
    <row r="146" spans="1:8" x14ac:dyDescent="0.2">
      <c r="A146" s="27">
        <f t="shared" si="32"/>
        <v>138</v>
      </c>
      <c r="B146" s="40"/>
      <c r="C146" s="38"/>
      <c r="D146" s="111"/>
      <c r="E146" s="242"/>
      <c r="F146" s="33"/>
      <c r="G146" s="244"/>
      <c r="H146" s="246"/>
    </row>
    <row r="147" spans="1:8" x14ac:dyDescent="0.2">
      <c r="A147" s="27">
        <f t="shared" si="32"/>
        <v>139</v>
      </c>
      <c r="B147" s="40" t="s">
        <v>50</v>
      </c>
      <c r="C147" s="38" t="s">
        <v>33</v>
      </c>
      <c r="D147" s="112" t="s">
        <v>76</v>
      </c>
      <c r="E147" s="242">
        <f>'[1]Sch 120 Street &amp; Area Lighting'!G161</f>
        <v>0.35</v>
      </c>
      <c r="F147" s="243">
        <f t="shared" ref="F147:F162" si="33">E147*$H$168</f>
        <v>1.6299451985941169E-2</v>
      </c>
      <c r="G147" s="247">
        <v>0</v>
      </c>
      <c r="H147" s="245">
        <f t="shared" si="31"/>
        <v>0</v>
      </c>
    </row>
    <row r="148" spans="1:8" x14ac:dyDescent="0.2">
      <c r="A148" s="27">
        <f t="shared" si="32"/>
        <v>140</v>
      </c>
      <c r="B148" s="40" t="s">
        <v>50</v>
      </c>
      <c r="C148" s="38" t="s">
        <v>33</v>
      </c>
      <c r="D148" s="113" t="s">
        <v>64</v>
      </c>
      <c r="E148" s="242">
        <f>'[1]Sch 120 Street &amp; Area Lighting'!G162</f>
        <v>1.03</v>
      </c>
      <c r="F148" s="243">
        <f t="shared" si="33"/>
        <v>4.7966958701484014E-2</v>
      </c>
      <c r="G148" s="244">
        <f>'[2]Lamp Inventory Pivot'!D103</f>
        <v>81</v>
      </c>
      <c r="H148" s="245">
        <f t="shared" si="31"/>
        <v>3.8853236548202053</v>
      </c>
    </row>
    <row r="149" spans="1:8" x14ac:dyDescent="0.2">
      <c r="A149" s="27">
        <f t="shared" si="32"/>
        <v>141</v>
      </c>
      <c r="B149" s="40" t="str">
        <f t="shared" ref="B149:B162" si="34">B148</f>
        <v>58E &amp; 59E</v>
      </c>
      <c r="C149" s="38" t="s">
        <v>33</v>
      </c>
      <c r="D149" s="111" t="s">
        <v>34</v>
      </c>
      <c r="E149" s="242">
        <f>'[1]Sch 120 Street &amp; Area Lighting'!G163</f>
        <v>1.71</v>
      </c>
      <c r="F149" s="243">
        <f t="shared" si="33"/>
        <v>7.9634465417026859E-2</v>
      </c>
      <c r="G149" s="244">
        <f>'[2]Lamp Inventory Pivot'!D104</f>
        <v>843</v>
      </c>
      <c r="H149" s="245">
        <f t="shared" si="31"/>
        <v>67.131854346553638</v>
      </c>
    </row>
    <row r="150" spans="1:8" x14ac:dyDescent="0.2">
      <c r="A150" s="27">
        <f t="shared" si="32"/>
        <v>142</v>
      </c>
      <c r="B150" s="40" t="str">
        <f t="shared" si="34"/>
        <v>58E &amp; 59E</v>
      </c>
      <c r="C150" s="38" t="s">
        <v>33</v>
      </c>
      <c r="D150" s="111" t="s">
        <v>35</v>
      </c>
      <c r="E150" s="242">
        <f>'[1]Sch 120 Street &amp; Area Lighting'!G164</f>
        <v>2.39</v>
      </c>
      <c r="F150" s="243">
        <f t="shared" si="33"/>
        <v>0.1113019721325697</v>
      </c>
      <c r="G150" s="244">
        <f>'[2]Lamp Inventory Pivot'!D105</f>
        <v>190</v>
      </c>
      <c r="H150" s="245">
        <f t="shared" si="31"/>
        <v>21.147374705188245</v>
      </c>
    </row>
    <row r="151" spans="1:8" x14ac:dyDescent="0.2">
      <c r="A151" s="27">
        <f t="shared" si="32"/>
        <v>143</v>
      </c>
      <c r="B151" s="40" t="str">
        <f t="shared" si="34"/>
        <v>58E &amp; 59E</v>
      </c>
      <c r="C151" s="38" t="s">
        <v>33</v>
      </c>
      <c r="D151" s="111" t="s">
        <v>36</v>
      </c>
      <c r="E151" s="242">
        <f>'[1]Sch 120 Street &amp; Area Lighting'!G165</f>
        <v>3.08</v>
      </c>
      <c r="F151" s="243">
        <f t="shared" si="33"/>
        <v>0.14343517747628229</v>
      </c>
      <c r="G151" s="244">
        <f>'[2]Lamp Inventory Pivot'!D106</f>
        <v>1792</v>
      </c>
      <c r="H151" s="245">
        <f t="shared" si="31"/>
        <v>257.03583803749785</v>
      </c>
    </row>
    <row r="152" spans="1:8" x14ac:dyDescent="0.2">
      <c r="A152" s="27">
        <f t="shared" si="32"/>
        <v>144</v>
      </c>
      <c r="B152" s="40" t="str">
        <f t="shared" si="34"/>
        <v>58E &amp; 59E</v>
      </c>
      <c r="C152" s="38" t="s">
        <v>33</v>
      </c>
      <c r="D152" s="111" t="s">
        <v>37</v>
      </c>
      <c r="E152" s="242">
        <f>'[1]Sch 120 Street &amp; Area Lighting'!G166</f>
        <v>3.76</v>
      </c>
      <c r="F152" s="243">
        <f t="shared" si="33"/>
        <v>0.17510268419182512</v>
      </c>
      <c r="G152" s="244">
        <f>'[2]Lamp Inventory Pivot'!D107</f>
        <v>405</v>
      </c>
      <c r="H152" s="245">
        <f t="shared" si="31"/>
        <v>70.916587097689174</v>
      </c>
    </row>
    <row r="153" spans="1:8" x14ac:dyDescent="0.2">
      <c r="A153" s="27">
        <f t="shared" si="32"/>
        <v>145</v>
      </c>
      <c r="B153" s="40" t="str">
        <f t="shared" si="34"/>
        <v>58E &amp; 59E</v>
      </c>
      <c r="C153" s="38" t="s">
        <v>33</v>
      </c>
      <c r="D153" s="111" t="s">
        <v>38</v>
      </c>
      <c r="E153" s="242">
        <f>'[1]Sch 120 Street &amp; Area Lighting'!G167</f>
        <v>4.4400000000000004</v>
      </c>
      <c r="F153" s="243">
        <f t="shared" si="33"/>
        <v>0.20677019090736801</v>
      </c>
      <c r="G153" s="247">
        <v>0</v>
      </c>
      <c r="H153" s="245">
        <f t="shared" si="31"/>
        <v>0</v>
      </c>
    </row>
    <row r="154" spans="1:8" x14ac:dyDescent="0.2">
      <c r="A154" s="27">
        <f t="shared" si="32"/>
        <v>146</v>
      </c>
      <c r="B154" s="40" t="str">
        <f t="shared" si="34"/>
        <v>58E &amp; 59E</v>
      </c>
      <c r="C154" s="38" t="s">
        <v>33</v>
      </c>
      <c r="D154" s="111" t="s">
        <v>39</v>
      </c>
      <c r="E154" s="242">
        <f>'[1]Sch 120 Street &amp; Area Lighting'!G168</f>
        <v>5.13</v>
      </c>
      <c r="F154" s="243">
        <f t="shared" si="33"/>
        <v>0.23890339625108056</v>
      </c>
      <c r="G154" s="244">
        <f>'[2]Lamp Inventory Pivot'!D108</f>
        <v>170</v>
      </c>
      <c r="H154" s="245">
        <f t="shared" si="31"/>
        <v>40.613577362683692</v>
      </c>
    </row>
    <row r="155" spans="1:8" x14ac:dyDescent="0.2">
      <c r="A155" s="27">
        <f t="shared" si="32"/>
        <v>147</v>
      </c>
      <c r="B155" s="40" t="str">
        <f t="shared" si="34"/>
        <v>58E &amp; 59E</v>
      </c>
      <c r="C155" s="38" t="s">
        <v>33</v>
      </c>
      <c r="D155" s="111" t="s">
        <v>40</v>
      </c>
      <c r="E155" s="242">
        <f>'[1]Sch 120 Street &amp; Area Lighting'!G169</f>
        <v>5.8100000000000005</v>
      </c>
      <c r="F155" s="243">
        <f t="shared" si="33"/>
        <v>0.27057090296662345</v>
      </c>
      <c r="G155" s="244">
        <f>'[2]Lamp Inventory Pivot'!D109</f>
        <v>253</v>
      </c>
      <c r="H155" s="245">
        <f t="shared" si="31"/>
        <v>68.454438450555728</v>
      </c>
    </row>
    <row r="156" spans="1:8" x14ac:dyDescent="0.2">
      <c r="A156" s="27">
        <f t="shared" si="32"/>
        <v>148</v>
      </c>
      <c r="B156" s="40" t="str">
        <f t="shared" si="34"/>
        <v>58E &amp; 59E</v>
      </c>
      <c r="C156" s="38" t="s">
        <v>33</v>
      </c>
      <c r="D156" s="111" t="s">
        <v>41</v>
      </c>
      <c r="E156" s="242">
        <f>'[1]Sch 120 Street &amp; Area Lighting'!G170</f>
        <v>6.5</v>
      </c>
      <c r="F156" s="243">
        <f t="shared" si="33"/>
        <v>0.30270410831033601</v>
      </c>
      <c r="G156" s="247">
        <v>0</v>
      </c>
      <c r="H156" s="245">
        <f t="shared" si="31"/>
        <v>0</v>
      </c>
    </row>
    <row r="157" spans="1:8" x14ac:dyDescent="0.2">
      <c r="A157" s="27">
        <f t="shared" si="32"/>
        <v>149</v>
      </c>
      <c r="B157" s="40" t="str">
        <f t="shared" si="34"/>
        <v>58E &amp; 59E</v>
      </c>
      <c r="C157" s="38" t="s">
        <v>33</v>
      </c>
      <c r="D157" s="111" t="s">
        <v>51</v>
      </c>
      <c r="E157" s="242">
        <f>'[1]Sch 120 Street &amp; Area Lighting'!G171</f>
        <v>7.9799999999999995</v>
      </c>
      <c r="F157" s="243">
        <f t="shared" si="33"/>
        <v>0.37162750527945865</v>
      </c>
      <c r="G157" s="247">
        <v>0</v>
      </c>
      <c r="H157" s="245">
        <f t="shared" si="31"/>
        <v>0</v>
      </c>
    </row>
    <row r="158" spans="1:8" x14ac:dyDescent="0.2">
      <c r="A158" s="27">
        <f t="shared" si="32"/>
        <v>150</v>
      </c>
      <c r="B158" s="40" t="str">
        <f t="shared" si="34"/>
        <v>58E &amp; 59E</v>
      </c>
      <c r="C158" s="38" t="s">
        <v>33</v>
      </c>
      <c r="D158" s="111" t="s">
        <v>52</v>
      </c>
      <c r="E158" s="242">
        <f>'[1]Sch 120 Street &amp; Area Lighting'!G172</f>
        <v>10.26</v>
      </c>
      <c r="F158" s="243">
        <f t="shared" si="33"/>
        <v>0.47780679250216113</v>
      </c>
      <c r="G158" s="247">
        <v>0</v>
      </c>
      <c r="H158" s="245">
        <f t="shared" si="31"/>
        <v>0</v>
      </c>
    </row>
    <row r="159" spans="1:8" x14ac:dyDescent="0.2">
      <c r="A159" s="27">
        <f t="shared" si="32"/>
        <v>151</v>
      </c>
      <c r="B159" s="40" t="str">
        <f t="shared" si="34"/>
        <v>58E &amp; 59E</v>
      </c>
      <c r="C159" s="38" t="s">
        <v>33</v>
      </c>
      <c r="D159" s="111" t="s">
        <v>53</v>
      </c>
      <c r="E159" s="242">
        <f>'[1]Sch 120 Street &amp; Area Lighting'!G173</f>
        <v>12.54</v>
      </c>
      <c r="F159" s="243">
        <f t="shared" si="33"/>
        <v>0.5839860797248636</v>
      </c>
      <c r="G159" s="247">
        <v>0</v>
      </c>
      <c r="H159" s="245">
        <f t="shared" si="31"/>
        <v>0</v>
      </c>
    </row>
    <row r="160" spans="1:8" x14ac:dyDescent="0.2">
      <c r="A160" s="27">
        <f t="shared" si="32"/>
        <v>152</v>
      </c>
      <c r="B160" s="40" t="str">
        <f t="shared" si="34"/>
        <v>58E &amp; 59E</v>
      </c>
      <c r="C160" s="38" t="s">
        <v>33</v>
      </c>
      <c r="D160" s="111" t="s">
        <v>54</v>
      </c>
      <c r="E160" s="242">
        <f>'[1]Sch 120 Street &amp; Area Lighting'!G174</f>
        <v>14.82</v>
      </c>
      <c r="F160" s="243">
        <f t="shared" si="33"/>
        <v>0.69016536694756614</v>
      </c>
      <c r="G160" s="247">
        <v>0</v>
      </c>
      <c r="H160" s="245">
        <f t="shared" si="31"/>
        <v>0</v>
      </c>
    </row>
    <row r="161" spans="1:8" x14ac:dyDescent="0.2">
      <c r="A161" s="27">
        <f t="shared" si="32"/>
        <v>153</v>
      </c>
      <c r="B161" s="40" t="str">
        <f t="shared" si="34"/>
        <v>58E &amp; 59E</v>
      </c>
      <c r="C161" s="38" t="s">
        <v>33</v>
      </c>
      <c r="D161" s="111" t="s">
        <v>55</v>
      </c>
      <c r="E161" s="242">
        <f>'[1]Sch 120 Street &amp; Area Lighting'!G175</f>
        <v>17.100000000000001</v>
      </c>
      <c r="F161" s="243">
        <f t="shared" si="33"/>
        <v>0.79634465417026867</v>
      </c>
      <c r="G161" s="247">
        <v>0</v>
      </c>
      <c r="H161" s="245">
        <f t="shared" si="31"/>
        <v>0</v>
      </c>
    </row>
    <row r="162" spans="1:8" x14ac:dyDescent="0.2">
      <c r="A162" s="27">
        <f t="shared" si="32"/>
        <v>154</v>
      </c>
      <c r="B162" s="40" t="str">
        <f t="shared" si="34"/>
        <v>58E &amp; 59E</v>
      </c>
      <c r="C162" s="38" t="s">
        <v>33</v>
      </c>
      <c r="D162" s="111" t="s">
        <v>56</v>
      </c>
      <c r="E162" s="242">
        <f>'[1]Sch 120 Street &amp; Area Lighting'!G176</f>
        <v>19.38</v>
      </c>
      <c r="F162" s="243">
        <f t="shared" si="33"/>
        <v>0.90252394139297099</v>
      </c>
      <c r="G162" s="247">
        <v>0</v>
      </c>
      <c r="H162" s="245">
        <f t="shared" si="31"/>
        <v>0</v>
      </c>
    </row>
    <row r="163" spans="1:8" x14ac:dyDescent="0.2">
      <c r="A163" s="27">
        <f t="shared" si="32"/>
        <v>155</v>
      </c>
      <c r="B163" s="30"/>
      <c r="F163" s="26"/>
      <c r="G163" s="250">
        <f>SUM(G11:G162)-'[2]Lamp Inventory Pivot'!$D$110+SUM('[2]Lamp Inventory Pivot'!$D$85:$D$86,'[2]Lamp Inventory Pivot'!$D$71:$D$72)</f>
        <v>0</v>
      </c>
    </row>
    <row r="164" spans="1:8" x14ac:dyDescent="0.2">
      <c r="A164" s="27">
        <f t="shared" si="32"/>
        <v>156</v>
      </c>
      <c r="D164" s="122"/>
      <c r="F164" s="26"/>
    </row>
    <row r="165" spans="1:8" x14ac:dyDescent="0.2">
      <c r="A165" s="27">
        <f t="shared" si="32"/>
        <v>157</v>
      </c>
      <c r="D165" s="122"/>
      <c r="F165" s="204"/>
      <c r="G165" s="251" t="s">
        <v>198</v>
      </c>
      <c r="H165" s="124">
        <f>SUM(H11:H162)</f>
        <v>180059.32051402304</v>
      </c>
    </row>
    <row r="166" spans="1:8" ht="13.5" x14ac:dyDescent="0.35">
      <c r="A166" s="27">
        <f t="shared" si="32"/>
        <v>158</v>
      </c>
      <c r="D166" s="122"/>
      <c r="F166" s="204"/>
      <c r="G166" s="252" t="s">
        <v>197</v>
      </c>
      <c r="H166" s="253">
        <f>'Rate Spread &amp; Design'!E26</f>
        <v>180059.32051402301</v>
      </c>
    </row>
    <row r="167" spans="1:8" x14ac:dyDescent="0.2">
      <c r="A167" s="27">
        <f t="shared" si="32"/>
        <v>159</v>
      </c>
      <c r="E167" s="204"/>
      <c r="F167" s="26"/>
      <c r="G167" s="251" t="s">
        <v>125</v>
      </c>
      <c r="H167" s="72">
        <f>+H166-H165</f>
        <v>0</v>
      </c>
    </row>
    <row r="168" spans="1:8" ht="13.5" x14ac:dyDescent="0.35">
      <c r="A168" s="27">
        <f t="shared" si="32"/>
        <v>160</v>
      </c>
      <c r="B168" s="112"/>
      <c r="F168" s="72"/>
      <c r="G168" s="123" t="s">
        <v>201</v>
      </c>
      <c r="H168" s="121">
        <v>4.6569862816974769E-2</v>
      </c>
    </row>
    <row r="169" spans="1:8" ht="13.5" x14ac:dyDescent="0.35">
      <c r="A169" s="27">
        <f t="shared" si="32"/>
        <v>161</v>
      </c>
      <c r="B169" s="112"/>
      <c r="F169" s="72"/>
      <c r="G169" s="123"/>
      <c r="H169" s="121"/>
    </row>
    <row r="170" spans="1:8" ht="22.5" x14ac:dyDescent="0.2">
      <c r="A170" s="27">
        <f t="shared" si="32"/>
        <v>162</v>
      </c>
      <c r="B170" s="63" t="s">
        <v>164</v>
      </c>
      <c r="C170" s="63"/>
      <c r="D170" s="63"/>
      <c r="E170" s="64"/>
      <c r="F170" s="65"/>
      <c r="G170" s="65"/>
      <c r="H170" s="66"/>
    </row>
    <row r="171" spans="1:8" x14ac:dyDescent="0.2">
      <c r="A171" s="27"/>
    </row>
    <row r="172" spans="1:8" x14ac:dyDescent="0.2">
      <c r="A172" s="26"/>
    </row>
  </sheetData>
  <printOptions horizontalCentered="1"/>
  <pageMargins left="0.7" right="0.7" top="0.75" bottom="0.75" header="0.3" footer="0.3"/>
  <pageSetup scale="55" fitToHeight="0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79998168889431442"/>
  </sheetPr>
  <dimension ref="A1:M63"/>
  <sheetViews>
    <sheetView zoomScaleNormal="100" workbookViewId="0"/>
  </sheetViews>
  <sheetFormatPr defaultColWidth="9.140625" defaultRowHeight="11.25" x14ac:dyDescent="0.2"/>
  <cols>
    <col min="1" max="1" width="6.140625" style="12" bestFit="1" customWidth="1"/>
    <col min="2" max="2" width="29.28515625" style="12" bestFit="1" customWidth="1"/>
    <col min="3" max="3" width="13" style="14" customWidth="1"/>
    <col min="4" max="4" width="19.140625" style="14" customWidth="1"/>
    <col min="5" max="5" width="11.42578125" style="14" customWidth="1"/>
    <col min="6" max="6" width="14.140625" style="15" customWidth="1"/>
    <col min="7" max="7" width="11.7109375" style="15" customWidth="1"/>
    <col min="8" max="8" width="3.7109375" style="12" bestFit="1" customWidth="1"/>
    <col min="9" max="9" width="12.85546875" style="12" bestFit="1" customWidth="1"/>
    <col min="10" max="11" width="9.140625" style="12"/>
    <col min="12" max="12" width="14.28515625" style="12" bestFit="1" customWidth="1"/>
    <col min="13" max="16384" width="9.140625" style="12"/>
  </cols>
  <sheetData>
    <row r="1" spans="1:13" s="21" customFormat="1" x14ac:dyDescent="0.2">
      <c r="A1" s="70" t="s">
        <v>104</v>
      </c>
      <c r="B1" s="51"/>
      <c r="C1" s="51"/>
      <c r="D1" s="51"/>
      <c r="E1" s="51"/>
      <c r="F1" s="51"/>
      <c r="G1" s="51"/>
      <c r="H1" s="204"/>
      <c r="I1" s="204"/>
      <c r="J1" s="204"/>
    </row>
    <row r="2" spans="1:13" s="21" customFormat="1" x14ac:dyDescent="0.2">
      <c r="A2" s="70" t="s">
        <v>115</v>
      </c>
      <c r="B2" s="51"/>
      <c r="C2" s="51"/>
      <c r="D2" s="51"/>
      <c r="E2" s="51"/>
      <c r="F2" s="51"/>
      <c r="G2" s="51"/>
      <c r="H2" s="204"/>
      <c r="I2" s="204"/>
      <c r="J2" s="204"/>
    </row>
    <row r="3" spans="1:13" s="21" customFormat="1" x14ac:dyDescent="0.2">
      <c r="A3" s="71" t="str">
        <f>Inputs!B2&amp;" Forecasted Rate-Year Ended "&amp;TEXT(Inputs!B4,"mmmm d, yyyy")</f>
        <v>F2023 Forecasted Rate-Year Ended April 30, 2025</v>
      </c>
      <c r="B3" s="51"/>
      <c r="C3" s="51"/>
      <c r="D3" s="51"/>
      <c r="E3" s="51"/>
      <c r="F3" s="51"/>
      <c r="G3" s="51"/>
      <c r="H3" s="204"/>
      <c r="I3" s="204"/>
      <c r="J3" s="204"/>
      <c r="M3" s="204"/>
    </row>
    <row r="4" spans="1:13" s="21" customFormat="1" x14ac:dyDescent="0.2">
      <c r="A4" s="71" t="str">
        <f>"Proposed Rate Effective "&amp;TEXT(Inputs!B1,"mmmm d, yyyy")</f>
        <v>Proposed Rate Effective May 1, 2024</v>
      </c>
      <c r="B4" s="51"/>
      <c r="C4" s="51"/>
      <c r="D4" s="51"/>
      <c r="E4" s="51"/>
      <c r="F4" s="51"/>
      <c r="G4" s="51"/>
      <c r="H4" s="204"/>
      <c r="I4" s="204"/>
      <c r="J4" s="204"/>
      <c r="M4" s="204"/>
    </row>
    <row r="5" spans="1:13" s="21" customFormat="1" x14ac:dyDescent="0.2">
      <c r="A5" s="51" t="s">
        <v>111</v>
      </c>
      <c r="B5" s="51"/>
      <c r="C5" s="51"/>
      <c r="D5" s="51"/>
      <c r="E5" s="51"/>
      <c r="F5" s="51"/>
      <c r="G5" s="51"/>
      <c r="H5" s="204"/>
      <c r="I5" s="204"/>
      <c r="J5" s="204"/>
    </row>
    <row r="7" spans="1:13" s="13" customFormat="1" ht="34.5" thickBot="1" x14ac:dyDescent="0.25">
      <c r="A7" s="25" t="s">
        <v>23</v>
      </c>
      <c r="B7" s="25" t="s">
        <v>12</v>
      </c>
      <c r="C7" s="25" t="s">
        <v>14</v>
      </c>
      <c r="D7" s="254" t="s">
        <v>113</v>
      </c>
      <c r="E7" s="25" t="s">
        <v>105</v>
      </c>
      <c r="F7" s="255" t="str">
        <f>Inputs!B2&amp;" Forecasted Rate-Year Energy (kWh)"</f>
        <v>F2023 Forecasted Rate-Year Energy (kWh)</v>
      </c>
      <c r="G7" s="256" t="s">
        <v>107</v>
      </c>
    </row>
    <row r="8" spans="1:13" s="13" customFormat="1" x14ac:dyDescent="0.2">
      <c r="A8" s="14">
        <v>1</v>
      </c>
      <c r="B8" s="46"/>
      <c r="D8" s="13" t="s">
        <v>18</v>
      </c>
      <c r="E8" s="13" t="s">
        <v>109</v>
      </c>
      <c r="F8" s="13" t="s">
        <v>20</v>
      </c>
      <c r="G8" s="13" t="s">
        <v>110</v>
      </c>
    </row>
    <row r="9" spans="1:13" x14ac:dyDescent="0.2">
      <c r="A9" s="14">
        <f>+A8+1</f>
        <v>2</v>
      </c>
      <c r="H9" s="83" t="s">
        <v>116</v>
      </c>
    </row>
    <row r="10" spans="1:13" x14ac:dyDescent="0.2">
      <c r="A10" s="14">
        <f t="shared" ref="A10:A47" si="0">+A9+1</f>
        <v>3</v>
      </c>
      <c r="B10" s="24" t="s">
        <v>0</v>
      </c>
      <c r="C10" s="3" t="s">
        <v>161</v>
      </c>
      <c r="D10" s="257">
        <f>'[1]Current Year RR Allocation'!$N$7</f>
        <v>0.57470012658729575</v>
      </c>
      <c r="E10" s="258">
        <f>D10*$E$28</f>
        <v>68288794.196083426</v>
      </c>
      <c r="F10" s="17">
        <f>'[3]Rate Impacts'!$E$11</f>
        <v>11203510559.836071</v>
      </c>
      <c r="G10" s="259">
        <f>E10/F10</f>
        <v>6.0953032383344874E-3</v>
      </c>
      <c r="H10" s="86">
        <f>F10*G10-E10</f>
        <v>0</v>
      </c>
      <c r="J10" s="291"/>
      <c r="K10" s="259"/>
      <c r="L10" s="292"/>
    </row>
    <row r="11" spans="1:13" x14ac:dyDescent="0.2">
      <c r="A11" s="14">
        <f t="shared" si="0"/>
        <v>4</v>
      </c>
      <c r="B11" s="24"/>
      <c r="C11" s="3"/>
      <c r="D11" s="257"/>
      <c r="E11" s="258"/>
      <c r="F11" s="17"/>
      <c r="G11" s="259"/>
      <c r="H11" s="87"/>
      <c r="J11" s="291"/>
      <c r="K11" s="259"/>
    </row>
    <row r="12" spans="1:13" x14ac:dyDescent="0.2">
      <c r="A12" s="14">
        <f t="shared" si="0"/>
        <v>5</v>
      </c>
      <c r="B12" s="16" t="s">
        <v>1</v>
      </c>
      <c r="C12" s="58" t="s">
        <v>108</v>
      </c>
      <c r="D12" s="257">
        <f>'[1]Current Year RR Allocation'!N8</f>
        <v>0.1243221220032787</v>
      </c>
      <c r="E12" s="258">
        <f>D12*$E$28</f>
        <v>14772587.32117695</v>
      </c>
      <c r="F12" s="17">
        <f>'[3]Rate Impacts'!$E$14</f>
        <v>2760323642.6246891</v>
      </c>
      <c r="G12" s="259">
        <f>E12/F12</f>
        <v>5.3517591535499247E-3</v>
      </c>
      <c r="H12" s="86">
        <f>F12*G12-E12</f>
        <v>0</v>
      </c>
      <c r="J12" s="291"/>
      <c r="K12" s="259"/>
      <c r="L12" s="292"/>
    </row>
    <row r="13" spans="1:13" x14ac:dyDescent="0.2">
      <c r="A13" s="14">
        <f t="shared" si="0"/>
        <v>6</v>
      </c>
      <c r="B13" s="24" t="s">
        <v>2</v>
      </c>
      <c r="C13" s="58" t="s">
        <v>87</v>
      </c>
      <c r="D13" s="257">
        <f>'[1]Current Year RR Allocation'!N9</f>
        <v>0.13360038566148688</v>
      </c>
      <c r="E13" s="258">
        <f>D13*$E$28</f>
        <v>15875077.834298728</v>
      </c>
      <c r="F13" s="17">
        <f>SUM('[3]Rate Impacts'!$E$15:$E$16)</f>
        <v>2959045827.7728415</v>
      </c>
      <c r="G13" s="259">
        <f>E13/F13</f>
        <v>5.3649313860905223E-3</v>
      </c>
      <c r="H13" s="86">
        <f>F13*G13-E13</f>
        <v>0</v>
      </c>
      <c r="J13" s="291"/>
      <c r="K13" s="259"/>
      <c r="L13" s="292"/>
    </row>
    <row r="14" spans="1:13" x14ac:dyDescent="0.2">
      <c r="A14" s="14">
        <f t="shared" si="0"/>
        <v>7</v>
      </c>
      <c r="B14" s="24" t="s">
        <v>3</v>
      </c>
      <c r="C14" s="58" t="s">
        <v>97</v>
      </c>
      <c r="D14" s="257">
        <f>'[1]Current Year RR Allocation'!N10</f>
        <v>7.718539396223284E-2</v>
      </c>
      <c r="E14" s="258">
        <f>D14*$E$28</f>
        <v>9171561.3750259019</v>
      </c>
      <c r="F14" s="17">
        <f>'[3]Rate Impacts'!E17</f>
        <v>1976059702.4320197</v>
      </c>
      <c r="G14" s="259">
        <f>E14/F14</f>
        <v>4.6413381962792299E-3</v>
      </c>
      <c r="H14" s="86">
        <f>F14*G14-E14</f>
        <v>0</v>
      </c>
      <c r="J14" s="291"/>
      <c r="K14" s="259"/>
      <c r="L14" s="292"/>
    </row>
    <row r="15" spans="1:13" x14ac:dyDescent="0.2">
      <c r="A15" s="14">
        <f t="shared" si="0"/>
        <v>8</v>
      </c>
      <c r="B15" s="24" t="s">
        <v>4</v>
      </c>
      <c r="C15" s="47">
        <v>29</v>
      </c>
      <c r="D15" s="257">
        <f>'[1]Current Year RR Allocation'!N11</f>
        <v>7.1675624697961214E-4</v>
      </c>
      <c r="E15" s="258">
        <f>D15*$E$28</f>
        <v>85168.625469778824</v>
      </c>
      <c r="F15" s="17">
        <f>'[3]Rate Impacts'!E18</f>
        <v>15030637.337107176</v>
      </c>
      <c r="G15" s="259">
        <f>E15/F15</f>
        <v>5.6663349370766293E-3</v>
      </c>
      <c r="H15" s="86">
        <f>F15*G15-E15</f>
        <v>0</v>
      </c>
      <c r="J15" s="291"/>
      <c r="K15" s="259"/>
      <c r="L15" s="292"/>
    </row>
    <row r="16" spans="1:13" x14ac:dyDescent="0.2">
      <c r="A16" s="14">
        <f t="shared" si="0"/>
        <v>9</v>
      </c>
      <c r="B16" s="24"/>
      <c r="D16" s="257"/>
      <c r="E16" s="258"/>
      <c r="F16" s="17"/>
      <c r="G16" s="259"/>
      <c r="H16" s="87"/>
      <c r="J16" s="291"/>
      <c r="K16" s="259"/>
    </row>
    <row r="17" spans="1:12" x14ac:dyDescent="0.2">
      <c r="A17" s="14">
        <f t="shared" si="0"/>
        <v>10</v>
      </c>
      <c r="B17" s="24" t="s">
        <v>5</v>
      </c>
      <c r="C17" s="58" t="s">
        <v>92</v>
      </c>
      <c r="D17" s="257">
        <f>'[1]Current Year RR Allocation'!N12</f>
        <v>5.3904805259882019E-2</v>
      </c>
      <c r="E17" s="258">
        <f>D17*$E$28</f>
        <v>6405243.3299975749</v>
      </c>
      <c r="F17" s="17">
        <f>'[3]Rate Impacts'!E22</f>
        <v>1414726531.7689974</v>
      </c>
      <c r="G17" s="259">
        <f>E17/F17</f>
        <v>4.5275487425745472E-3</v>
      </c>
      <c r="H17" s="86">
        <f>F17*G17-E17</f>
        <v>0</v>
      </c>
      <c r="J17" s="291"/>
      <c r="K17" s="259"/>
      <c r="L17" s="292"/>
    </row>
    <row r="18" spans="1:12" x14ac:dyDescent="0.2">
      <c r="A18" s="14">
        <f t="shared" si="0"/>
        <v>11</v>
      </c>
      <c r="B18" s="24" t="s">
        <v>6</v>
      </c>
      <c r="C18" s="47">
        <v>35</v>
      </c>
      <c r="D18" s="257">
        <f>'[1]Current Year RR Allocation'!N13</f>
        <v>1.3007596218519128E-4</v>
      </c>
      <c r="E18" s="258">
        <f>D18*$E$28</f>
        <v>15456.287897950879</v>
      </c>
      <c r="F18" s="17">
        <f>'[3]Rate Impacts'!E23</f>
        <v>4440266.6219169199</v>
      </c>
      <c r="G18" s="259">
        <f>E18/F18</f>
        <v>3.4809368927666332E-3</v>
      </c>
      <c r="H18" s="86">
        <f>F18*G18-E18</f>
        <v>0</v>
      </c>
      <c r="J18" s="291"/>
      <c r="K18" s="259"/>
      <c r="L18" s="292"/>
    </row>
    <row r="19" spans="1:12" x14ac:dyDescent="0.2">
      <c r="A19" s="14">
        <f t="shared" si="0"/>
        <v>12</v>
      </c>
      <c r="B19" s="24" t="s">
        <v>7</v>
      </c>
      <c r="C19" s="47">
        <v>43</v>
      </c>
      <c r="D19" s="257">
        <f>'[1]Current Year RR Allocation'!N14</f>
        <v>1.0421850415475889E-3</v>
      </c>
      <c r="E19" s="258">
        <f>D19*$E$28</f>
        <v>123837.73123402895</v>
      </c>
      <c r="F19" s="17">
        <f>'[3]Rate Impacts'!E24</f>
        <v>122744427.38210531</v>
      </c>
      <c r="G19" s="259">
        <f>E19/F19</f>
        <v>1.0089071567259032E-3</v>
      </c>
      <c r="H19" s="86">
        <f>F19*G19-E19</f>
        <v>0</v>
      </c>
      <c r="J19" s="291"/>
      <c r="K19" s="259"/>
      <c r="L19" s="292"/>
    </row>
    <row r="20" spans="1:12" x14ac:dyDescent="0.2">
      <c r="A20" s="14">
        <f t="shared" si="0"/>
        <v>13</v>
      </c>
      <c r="B20" s="16"/>
      <c r="D20" s="257"/>
      <c r="E20" s="258"/>
      <c r="F20" s="17"/>
      <c r="G20" s="259"/>
      <c r="H20" s="87"/>
      <c r="J20" s="291"/>
      <c r="K20" s="259"/>
    </row>
    <row r="21" spans="1:12" x14ac:dyDescent="0.2">
      <c r="A21" s="14">
        <f t="shared" si="0"/>
        <v>14</v>
      </c>
      <c r="B21" s="24" t="s">
        <v>8</v>
      </c>
      <c r="C21" s="47">
        <v>46</v>
      </c>
      <c r="D21" s="257">
        <f>'[1]Current Year RR Allocation'!N18</f>
        <v>9.1755336108589403E-4</v>
      </c>
      <c r="E21" s="258">
        <f>D21*$E$28</f>
        <v>109028.36060120743</v>
      </c>
      <c r="F21" s="17">
        <f>'[3]Rate Impacts'!E28</f>
        <v>96942309.823676795</v>
      </c>
      <c r="G21" s="259">
        <f>E21/F21</f>
        <v>1.1246726099214399E-3</v>
      </c>
      <c r="H21" s="86">
        <f>F21*G21-E21</f>
        <v>0</v>
      </c>
      <c r="J21" s="291"/>
      <c r="K21" s="259"/>
      <c r="L21" s="292"/>
    </row>
    <row r="22" spans="1:12" x14ac:dyDescent="0.2">
      <c r="A22" s="14">
        <f t="shared" si="0"/>
        <v>15</v>
      </c>
      <c r="B22" s="16" t="s">
        <v>9</v>
      </c>
      <c r="C22" s="47">
        <v>49</v>
      </c>
      <c r="D22" s="257">
        <f>'[1]Current Year RR Allocation'!N19</f>
        <v>1.9069679920189889E-2</v>
      </c>
      <c r="E22" s="258">
        <f>D22*$E$28</f>
        <v>2265956.4305093703</v>
      </c>
      <c r="F22" s="17">
        <f>'[3]Rate Impacts'!E29</f>
        <v>534795351.78868973</v>
      </c>
      <c r="G22" s="259">
        <f>E22/F22</f>
        <v>4.2370533381238199E-3</v>
      </c>
      <c r="H22" s="86">
        <f>F22*G22-E22</f>
        <v>0</v>
      </c>
      <c r="J22" s="291"/>
      <c r="K22" s="259"/>
      <c r="L22" s="292"/>
    </row>
    <row r="23" spans="1:12" x14ac:dyDescent="0.2">
      <c r="A23" s="14">
        <f t="shared" si="0"/>
        <v>16</v>
      </c>
      <c r="D23" s="257"/>
      <c r="E23" s="258"/>
      <c r="F23" s="17"/>
      <c r="G23" s="259"/>
      <c r="H23" s="87"/>
      <c r="J23" s="291"/>
      <c r="K23" s="259"/>
    </row>
    <row r="24" spans="1:12" x14ac:dyDescent="0.2">
      <c r="A24" s="14">
        <f t="shared" si="0"/>
        <v>17</v>
      </c>
      <c r="B24" s="24" t="s">
        <v>114</v>
      </c>
      <c r="C24" s="8" t="s">
        <v>63</v>
      </c>
      <c r="D24" s="257">
        <f>'[1]Current Year RR Allocation'!$N$16</f>
        <v>1.2895585176959594E-2</v>
      </c>
      <c r="E24" s="258">
        <f>D24*$E$28</f>
        <v>1532319.0677141652</v>
      </c>
      <c r="F24" s="17">
        <f>'[3]Rate Impacts'!$E$33</f>
        <v>304684283.88728809</v>
      </c>
      <c r="G24" s="259">
        <f>E24/F24</f>
        <v>5.0292028461862382E-3</v>
      </c>
      <c r="H24" s="86">
        <f>F24*G24-E24</f>
        <v>0</v>
      </c>
      <c r="J24" s="291"/>
      <c r="K24" s="259"/>
      <c r="L24" s="292"/>
    </row>
    <row r="25" spans="1:12" x14ac:dyDescent="0.2">
      <c r="A25" s="14">
        <f t="shared" si="0"/>
        <v>18</v>
      </c>
      <c r="D25" s="257"/>
      <c r="E25" s="258"/>
      <c r="F25" s="17"/>
      <c r="G25" s="259"/>
      <c r="H25" s="87"/>
      <c r="J25" s="291"/>
      <c r="K25" s="259"/>
    </row>
    <row r="26" spans="1:12" x14ac:dyDescent="0.2">
      <c r="A26" s="14">
        <f t="shared" si="0"/>
        <v>19</v>
      </c>
      <c r="B26" s="12" t="s">
        <v>10</v>
      </c>
      <c r="C26" s="45" t="s">
        <v>103</v>
      </c>
      <c r="D26" s="257">
        <f>'[1]Current Year RR Allocation'!$N$23</f>
        <v>1.5153308168760491E-3</v>
      </c>
      <c r="E26" s="258">
        <f>D26*$E$28</f>
        <v>180059.32051402301</v>
      </c>
      <c r="F26" s="17">
        <f>'[3]Rate Impacts'!$E$34</f>
        <v>67443601.461170837</v>
      </c>
      <c r="G26" s="260">
        <f>E26/F26</f>
        <v>2.6697761776213595E-3</v>
      </c>
      <c r="H26" s="86">
        <f>F26*G26-E26</f>
        <v>0</v>
      </c>
      <c r="J26" s="291"/>
      <c r="K26" s="259"/>
      <c r="L26" s="292"/>
    </row>
    <row r="27" spans="1:12" x14ac:dyDescent="0.2">
      <c r="A27" s="14">
        <f t="shared" si="0"/>
        <v>20</v>
      </c>
      <c r="D27" s="62"/>
      <c r="F27" s="17"/>
      <c r="G27" s="17"/>
      <c r="H27" s="264"/>
      <c r="I27" s="17"/>
    </row>
    <row r="28" spans="1:12" ht="13.5" x14ac:dyDescent="0.35">
      <c r="A28" s="14">
        <f t="shared" si="0"/>
        <v>21</v>
      </c>
      <c r="D28" s="85" t="s">
        <v>134</v>
      </c>
      <c r="E28" s="261">
        <f>[4]Summary!$C$28</f>
        <v>118825089.8805231</v>
      </c>
      <c r="F28" s="108"/>
      <c r="G28" s="108"/>
      <c r="H28" s="265">
        <f>SUM(E10:E26)-E28</f>
        <v>0</v>
      </c>
      <c r="I28" s="23">
        <f>'[3]Rate Impacts'!$E$42-'[3]Rate Impacts'!$E$32-'[3]Rate Impacts'!$E$38-SUM(F10:F26)</f>
        <v>0</v>
      </c>
      <c r="L28" s="243"/>
    </row>
    <row r="29" spans="1:12" x14ac:dyDescent="0.2">
      <c r="A29" s="14">
        <f t="shared" si="0"/>
        <v>22</v>
      </c>
      <c r="E29" s="87">
        <f>SUM(E10:E26)-E28</f>
        <v>0</v>
      </c>
      <c r="G29" s="43"/>
    </row>
    <row r="30" spans="1:12" x14ac:dyDescent="0.2">
      <c r="A30" s="14">
        <f t="shared" si="0"/>
        <v>23</v>
      </c>
      <c r="B30" s="267" t="s">
        <v>204</v>
      </c>
      <c r="C30" s="268"/>
      <c r="D30" s="268"/>
      <c r="E30" s="268"/>
      <c r="F30" s="268"/>
      <c r="G30" s="268"/>
    </row>
    <row r="31" spans="1:12" x14ac:dyDescent="0.2">
      <c r="A31" s="14">
        <f t="shared" si="0"/>
        <v>24</v>
      </c>
      <c r="B31" s="269"/>
      <c r="C31" s="270"/>
      <c r="D31" s="270"/>
      <c r="E31" s="270"/>
      <c r="F31" s="271"/>
      <c r="G31" s="271"/>
    </row>
    <row r="32" spans="1:12" x14ac:dyDescent="0.2">
      <c r="A32" s="14">
        <f t="shared" si="0"/>
        <v>25</v>
      </c>
      <c r="B32" s="272" t="s">
        <v>27</v>
      </c>
      <c r="C32" s="273" t="s">
        <v>102</v>
      </c>
      <c r="D32" s="274" t="s">
        <v>106</v>
      </c>
      <c r="E32" s="275">
        <f>F32*G32</f>
        <v>2664963.7845071903</v>
      </c>
      <c r="F32" s="276">
        <f>'[3]Rate Impacts'!$E$32</f>
        <v>1972429157.4558516</v>
      </c>
      <c r="G32" s="277">
        <f>E42</f>
        <v>1.3511074780219779E-3</v>
      </c>
      <c r="L32" s="292"/>
    </row>
    <row r="33" spans="1:12" x14ac:dyDescent="0.2">
      <c r="A33" s="14">
        <f t="shared" si="0"/>
        <v>26</v>
      </c>
      <c r="B33" s="269"/>
      <c r="C33" s="270"/>
      <c r="D33" s="270"/>
      <c r="E33" s="270"/>
      <c r="F33" s="271"/>
      <c r="G33" s="271"/>
    </row>
    <row r="34" spans="1:12" x14ac:dyDescent="0.2">
      <c r="A34" s="14">
        <f t="shared" si="0"/>
        <v>27</v>
      </c>
      <c r="B34" s="269"/>
      <c r="C34" s="278"/>
      <c r="D34" s="266" t="s">
        <v>206</v>
      </c>
      <c r="E34" s="279">
        <f>'[1]Sch 258 RD'!$C$20</f>
        <v>234.863</v>
      </c>
      <c r="F34" s="280"/>
      <c r="G34" s="269"/>
      <c r="L34" s="243"/>
    </row>
    <row r="35" spans="1:12" ht="13.5" x14ac:dyDescent="0.2">
      <c r="A35" s="14">
        <f t="shared" si="0"/>
        <v>28</v>
      </c>
      <c r="B35" s="269"/>
      <c r="C35" s="281"/>
      <c r="D35" s="266" t="s">
        <v>207</v>
      </c>
      <c r="E35" s="282">
        <f>'[1]Sch 258 RD'!$C$21</f>
        <v>182</v>
      </c>
      <c r="F35" s="280"/>
      <c r="G35" s="269"/>
    </row>
    <row r="36" spans="1:12" x14ac:dyDescent="0.2">
      <c r="A36" s="14">
        <f t="shared" si="0"/>
        <v>29</v>
      </c>
      <c r="B36" s="269"/>
      <c r="C36" s="269"/>
      <c r="D36" s="283" t="s">
        <v>26</v>
      </c>
      <c r="E36" s="275">
        <f>+E34-E35</f>
        <v>52.863</v>
      </c>
      <c r="F36" s="280"/>
      <c r="G36" s="269"/>
    </row>
    <row r="37" spans="1:12" ht="10.9" customHeight="1" x14ac:dyDescent="0.2">
      <c r="A37" s="14">
        <f t="shared" si="0"/>
        <v>30</v>
      </c>
      <c r="B37" s="280"/>
      <c r="C37" s="280"/>
      <c r="D37" s="280"/>
      <c r="E37" s="284"/>
      <c r="F37" s="284"/>
      <c r="G37" s="284"/>
    </row>
    <row r="38" spans="1:12" ht="12.6" customHeight="1" x14ac:dyDescent="0.2">
      <c r="A38" s="14">
        <f t="shared" si="0"/>
        <v>31</v>
      </c>
      <c r="B38" s="269"/>
      <c r="C38" s="269"/>
      <c r="D38" s="266" t="s">
        <v>165</v>
      </c>
      <c r="E38" s="285">
        <f>+E36/E35</f>
        <v>0.29045604395604396</v>
      </c>
      <c r="F38" s="280"/>
      <c r="G38" s="269"/>
    </row>
    <row r="39" spans="1:12" x14ac:dyDescent="0.2">
      <c r="A39" s="14">
        <f t="shared" si="0"/>
        <v>32</v>
      </c>
      <c r="B39" s="280"/>
      <c r="C39" s="280"/>
      <c r="D39" s="280"/>
      <c r="E39" s="286"/>
      <c r="F39" s="271"/>
      <c r="G39" s="271"/>
    </row>
    <row r="40" spans="1:12" x14ac:dyDescent="0.2">
      <c r="A40" s="14">
        <f t="shared" si="0"/>
        <v>33</v>
      </c>
      <c r="B40" s="269"/>
      <c r="C40" s="287"/>
      <c r="D40" s="266" t="s">
        <v>208</v>
      </c>
      <c r="E40" s="288">
        <f>'[1]Sch 258 RD'!$C$26</f>
        <v>1.047E-3</v>
      </c>
      <c r="F40" s="271"/>
      <c r="G40" s="271"/>
    </row>
    <row r="41" spans="1:12" ht="13.5" x14ac:dyDescent="0.2">
      <c r="A41" s="14">
        <f t="shared" si="0"/>
        <v>34</v>
      </c>
      <c r="B41" s="269"/>
      <c r="C41" s="287"/>
      <c r="D41" s="266" t="s">
        <v>203</v>
      </c>
      <c r="E41" s="289">
        <f>E38*E40</f>
        <v>3.0410747802197803E-4</v>
      </c>
      <c r="F41" s="271"/>
      <c r="G41" s="271"/>
    </row>
    <row r="42" spans="1:12" x14ac:dyDescent="0.2">
      <c r="A42" s="14">
        <f>+A41+1</f>
        <v>35</v>
      </c>
      <c r="B42" s="269"/>
      <c r="C42" s="287"/>
      <c r="D42" s="266" t="s">
        <v>209</v>
      </c>
      <c r="E42" s="290">
        <f>SUM(E40:E41)</f>
        <v>1.3511074780219779E-3</v>
      </c>
      <c r="F42" s="271"/>
      <c r="G42" s="271"/>
    </row>
    <row r="43" spans="1:12" ht="12" thickBot="1" x14ac:dyDescent="0.25">
      <c r="A43" s="14">
        <f>+A42+1</f>
        <v>36</v>
      </c>
      <c r="B43" s="97"/>
      <c r="C43" s="98"/>
      <c r="D43" s="99"/>
      <c r="E43" s="100"/>
      <c r="F43" s="101"/>
      <c r="G43" s="101"/>
    </row>
    <row r="44" spans="1:12" ht="12" thickTop="1" x14ac:dyDescent="0.2">
      <c r="A44" s="14">
        <f>+A43+1</f>
        <v>37</v>
      </c>
      <c r="E44" s="47"/>
    </row>
    <row r="45" spans="1:12" ht="32.450000000000003" customHeight="1" x14ac:dyDescent="0.2">
      <c r="A45" s="14">
        <f t="shared" si="0"/>
        <v>38</v>
      </c>
      <c r="B45" s="63" t="s">
        <v>162</v>
      </c>
      <c r="C45" s="63"/>
      <c r="D45" s="63"/>
      <c r="E45" s="64"/>
      <c r="F45" s="65"/>
      <c r="G45" s="65"/>
    </row>
    <row r="46" spans="1:12" ht="32.450000000000003" customHeight="1" x14ac:dyDescent="0.2">
      <c r="A46" s="14">
        <f t="shared" si="0"/>
        <v>39</v>
      </c>
      <c r="B46" s="63" t="s">
        <v>163</v>
      </c>
      <c r="C46" s="63"/>
      <c r="D46" s="63"/>
      <c r="E46" s="64"/>
      <c r="F46" s="65"/>
      <c r="G46" s="65"/>
    </row>
    <row r="47" spans="1:12" ht="32.450000000000003" customHeight="1" x14ac:dyDescent="0.2">
      <c r="A47" s="14">
        <f t="shared" si="0"/>
        <v>40</v>
      </c>
      <c r="B47" s="63" t="s">
        <v>205</v>
      </c>
      <c r="C47" s="63"/>
      <c r="D47" s="63"/>
      <c r="E47" s="64"/>
      <c r="F47" s="65"/>
      <c r="G47" s="65"/>
    </row>
    <row r="48" spans="1:12" x14ac:dyDescent="0.2">
      <c r="E48" s="58"/>
    </row>
    <row r="49" spans="5:5" x14ac:dyDescent="0.2">
      <c r="E49" s="47"/>
    </row>
    <row r="50" spans="5:5" x14ac:dyDescent="0.2">
      <c r="E50" s="47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47"/>
    </row>
    <row r="55" spans="5:5" x14ac:dyDescent="0.2">
      <c r="E55" s="47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47"/>
    </row>
    <row r="60" spans="5:5" x14ac:dyDescent="0.2">
      <c r="E60" s="8"/>
    </row>
    <row r="61" spans="5:5" x14ac:dyDescent="0.2">
      <c r="E61" s="8"/>
    </row>
    <row r="62" spans="5:5" x14ac:dyDescent="0.2">
      <c r="E62" s="8"/>
    </row>
    <row r="63" spans="5:5" x14ac:dyDescent="0.2">
      <c r="E63" s="45"/>
    </row>
  </sheetData>
  <printOptions horizontalCentered="1"/>
  <pageMargins left="0.7" right="0.7" top="0.75" bottom="0.75" header="0.3" footer="0.3"/>
  <pageSetup scale="55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79998168889431442"/>
  </sheetPr>
  <dimension ref="A1:B7"/>
  <sheetViews>
    <sheetView workbookViewId="0">
      <selection activeCell="J11" sqref="J11"/>
    </sheetView>
  </sheetViews>
  <sheetFormatPr defaultRowHeight="12.75" x14ac:dyDescent="0.2"/>
  <cols>
    <col min="1" max="1" width="38.28515625" customWidth="1"/>
    <col min="2" max="2" width="7.85546875" bestFit="1" customWidth="1"/>
  </cols>
  <sheetData>
    <row r="1" spans="1:2" ht="15" x14ac:dyDescent="0.35">
      <c r="A1" s="81" t="s">
        <v>79</v>
      </c>
      <c r="B1" s="49">
        <v>45413</v>
      </c>
    </row>
    <row r="2" spans="1:2" ht="15" x14ac:dyDescent="0.35">
      <c r="A2" s="82" t="s">
        <v>80</v>
      </c>
      <c r="B2" s="48" t="s">
        <v>81</v>
      </c>
    </row>
    <row r="3" spans="1:2" ht="15" x14ac:dyDescent="0.35">
      <c r="A3" s="82" t="s">
        <v>82</v>
      </c>
      <c r="B3" s="50">
        <v>45413</v>
      </c>
    </row>
    <row r="4" spans="1:2" ht="15" x14ac:dyDescent="0.35">
      <c r="A4" s="82" t="s">
        <v>83</v>
      </c>
      <c r="B4" s="50">
        <f>EOMONTH(B3, 11)</f>
        <v>45777</v>
      </c>
    </row>
    <row r="5" spans="1:2" ht="15" x14ac:dyDescent="0.35">
      <c r="A5" s="82"/>
      <c r="B5" s="48"/>
    </row>
    <row r="6" spans="1:2" ht="15" x14ac:dyDescent="0.35">
      <c r="A6" s="81"/>
      <c r="B6" s="50"/>
    </row>
    <row r="7" spans="1:2" ht="15" x14ac:dyDescent="0.35">
      <c r="A7" s="82"/>
      <c r="B7" s="5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0935867B6D6143A0C03F420388586A" ma:contentTypeVersion="7" ma:contentTypeDescription="" ma:contentTypeScope="" ma:versionID="0950c70b7db6244f6d6ad84af0fe64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2024-03-01T08:00:00+00:00</OpenedDate>
    <SignificantOrder xmlns="dc463f71-b30c-4ab2-9473-d307f9d35888">false</SignificantOrder>
    <Date1 xmlns="dc463f71-b30c-4ab2-9473-d307f9d35888">2024-04-11T07:00:00+00:00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240138</DocketNumber>
    <DelegatedOrder xmlns="dc463f71-b30c-4ab2-9473-d307f9d35888">false</DelegatedOrder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2822320-277A-41D3-8ED0-793F44D012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12E484-1EC2-483D-9B47-5BDB11346A82}"/>
</file>

<file path=customXml/itemProps3.xml><?xml version="1.0" encoding="utf-8"?>
<ds:datastoreItem xmlns:ds="http://schemas.openxmlformats.org/officeDocument/2006/customXml" ds:itemID="{DD8BAA5D-E12D-4D15-A280-34F639DD7367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c463f71-b30c-4ab2-9473-d307f9d35888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ADF55C4-AAB0-4AF9-82D8-B930D1340B52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20926DE2-43A1-40F9-AF8F-A5F5ACD43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Tariff Use&gt;</vt:lpstr>
      <vt:lpstr>Sch 120 Rates</vt:lpstr>
      <vt:lpstr>Lighting Rates</vt:lpstr>
      <vt:lpstr>Rate Impacts</vt:lpstr>
      <vt:lpstr>Workpapers&gt;</vt:lpstr>
      <vt:lpstr>Lighting RD</vt:lpstr>
      <vt:lpstr>Rate Spread &amp; Design</vt:lpstr>
      <vt:lpstr>Inputs</vt:lpstr>
      <vt:lpstr>'Lighting Rates'!Print_Area</vt:lpstr>
      <vt:lpstr>'Lighting RD'!Print_Area</vt:lpstr>
      <vt:lpstr>'Rate Impacts'!Print_Area</vt:lpstr>
      <vt:lpstr>'Rate Spread &amp; Design'!Print_Area</vt:lpstr>
      <vt:lpstr>'Sch 120 Rates'!Print_Area</vt:lpstr>
      <vt:lpstr>'Lighting RD'!Print_Titles</vt:lpstr>
      <vt:lpstr>'Rate Spread &amp; Design'!Print_Titles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Rasanen</dc:creator>
  <cp:lastModifiedBy>Traore, Lori</cp:lastModifiedBy>
  <cp:lastPrinted>2024-02-29T00:19:46Z</cp:lastPrinted>
  <dcterms:created xsi:type="dcterms:W3CDTF">2001-02-07T23:54:25Z</dcterms:created>
  <dcterms:modified xsi:type="dcterms:W3CDTF">2024-04-11T22:40:55Z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0x0101006E56B4D1795A2E4DB2F0B01679ED314A003D0935867B6D6143A0C03F420388586A</vt:lpwstr>
  </property>
  <property fmtid="{D5CDD505-2E9C-101B-9397-08002B2CF9AE}" pid="3" name="_docset_NoMedatataSyncRequired">
    <vt:lpwstr>False</vt:lpwstr>
  </property>
</Properties>
</file>