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8.bin" ContentType="application/vnd.openxmlformats-officedocument.spreadsheetml.customProperty"/>
  <Override PartName="/xl/customProperty5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3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alcChain.xml" ContentType="application/vnd.openxmlformats-officedocument.spreadsheetml.calcChain+xml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56 Natual Gas Schedule 111 - #2 Greenhouse Gas Emissions Cap and Invest Adjustment (UG-23XXXX) (Eff. 01-01-24)\Workpapers\NO TOTE\"/>
    </mc:Choice>
  </mc:AlternateContent>
  <bookViews>
    <workbookView xWindow="0" yWindow="0" windowWidth="15990" windowHeight="8520" tabRatio="787"/>
  </bookViews>
  <sheets>
    <sheet name="REDACTED" sheetId="43" r:id="rId1"/>
    <sheet name="Rev Req" sheetId="53" r:id="rId2"/>
    <sheet name="Detail To File" sheetId="59" state="hidden" r:id="rId3"/>
    <sheet name="Detail (R)" sheetId="54" r:id="rId4"/>
    <sheet name="NEX_EOD_ENVIRON_FUTURES (R)" sheetId="58" r:id="rId5"/>
    <sheet name="Dec 23 Daily Settle Price (R)" sheetId="34" r:id="rId6"/>
    <sheet name="Purch Volumes 2023 (R)" sheetId="25" r:id="rId7"/>
    <sheet name="Purch Volumes 2024 (R)" sheetId="50" r:id="rId8"/>
    <sheet name="No-Cost Allowances (R)" sheetId="30" r:id="rId9"/>
    <sheet name="Emissions Inputs" sheetId="29" r:id="rId10"/>
    <sheet name="Emissions Rates" sheetId="28" r:id="rId11"/>
    <sheet name="Debt%, Conv Fctr" sheetId="21" r:id="rId12"/>
    <sheet name="Auction Dates" sheetId="40" r:id="rId13"/>
    <sheet name="Actual Cost of Debt" sheetId="5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3" hidden="1">[2]ConsolidatingPL!#REF!</definedName>
    <definedName name="__123Graph_ECURRENT" localSheetId="2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hidden="1">{#N/A,#N/A,FALSE,"schA"}</definedName>
    <definedName name="_1__123Graph_ABUDG6_D_ESCRPR" hidden="1">[1]Quant!$D$71:$O$71</definedName>
    <definedName name="_2__123Graph_ABUDG6_Dtons_inv" localSheetId="3" hidden="1">[3]Quant!#REF!</definedName>
    <definedName name="_2__123Graph_ABUDG6_Dtons_inv" localSheetId="2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3" hidden="1">[4]Quant!#REF!</definedName>
    <definedName name="_3__123Graph_ABUDG6_Dtons_inv" localSheetId="2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3" hidden="1">'[5]Area D 2011'!#REF!</definedName>
    <definedName name="_4__123Graph_ABUDG6_Dtons_inv" localSheetId="2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3" hidden="1">'[6]2012 Area AB BudgetSummary'!#REF!</definedName>
    <definedName name="_6__123Graph_CBUDG6_D_ESCRPR" localSheetId="2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3" hidden="1">'[5]Area D 2011'!#REF!</definedName>
    <definedName name="_7__123Graph_CBUDG6_D_ESCRPR" localSheetId="2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3" hidden="1">'[6]2012 Area AB BudgetSummary'!#REF!</definedName>
    <definedName name="_7__123Graph_DBUDG6_D_ESCRPR" localSheetId="2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3" hidden="1">'[5]Area D 2011'!#REF!</definedName>
    <definedName name="_8__123Graph_DBUDG6_D_ESCRPR" localSheetId="2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3" hidden="1">#REF!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4" hidden="1">'NEX_EOD_ENVIRON_FUTURES (R)'!$A$4:$E$56</definedName>
    <definedName name="_Key1" localSheetId="3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3" hidden="1">#REF!</definedName>
    <definedName name="_Parse_In" localSheetId="2" hidden="1">#REF!</definedName>
    <definedName name="_Parse_In" localSheetId="1" hidden="1">#REF!</definedName>
    <definedName name="_Parse_In" hidden="1">#REF!</definedName>
    <definedName name="_Regression_Int" hidden="1">1</definedName>
    <definedName name="_six6" hidden="1">{#N/A,#N/A,FALSE,"CRPT";#N/A,#N/A,FALSE,"TREND";#N/A,#N/A,FALSE,"%Curve"}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IT">'[7]Named Ranges G'!$B$10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_xlnm.Print_Area" localSheetId="13">'Actual Cost of Debt'!$A$1:$G$49</definedName>
    <definedName name="qqq" hidden="1">{#N/A,#N/A,FALSE,"schA"}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3" hidden="1">#REF!</definedName>
    <definedName name="RENAME" localSheetId="2" hidden="1">#REF!</definedName>
    <definedName name="RENAME" localSheetId="1" hidden="1">#REF!</definedName>
    <definedName name="RENAME" hidden="1">#REF!</definedName>
    <definedName name="RENAME2" localSheetId="3" hidden="1">#REF!</definedName>
    <definedName name="RENAME2" localSheetId="2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st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w" localSheetId="3" hidden="1">#REF!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" hidden="1">{#N/A,#N/A,FALSE,"Coversheet";#N/A,#N/A,FALSE,"QA"}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53" l="1"/>
  <c r="E20" i="53"/>
  <c r="E11" i="53"/>
  <c r="E12" i="53" s="1"/>
  <c r="E14" i="53" s="1"/>
  <c r="E32" i="53" l="1"/>
  <c r="E22" i="53"/>
  <c r="E23" i="53" s="1"/>
  <c r="E25" i="53" s="1"/>
  <c r="E33" i="53" l="1"/>
  <c r="E34" i="53" s="1"/>
  <c r="E36" i="53" s="1"/>
  <c r="N26" i="59" l="1"/>
  <c r="K26" i="59" l="1"/>
  <c r="E8" i="30"/>
  <c r="E10" i="30"/>
  <c r="F10" i="30"/>
  <c r="G10" i="30"/>
  <c r="H10" i="30"/>
  <c r="E6" i="30"/>
  <c r="F6" i="30"/>
  <c r="G6" i="30"/>
  <c r="H6" i="30"/>
  <c r="Q41" i="59"/>
  <c r="Q42" i="59"/>
  <c r="Q40" i="59"/>
  <c r="Q39" i="59"/>
  <c r="Q38" i="59"/>
  <c r="Q37" i="59"/>
  <c r="Q36" i="59"/>
  <c r="Q35" i="59"/>
  <c r="Q34" i="59"/>
  <c r="Q17" i="59"/>
  <c r="Q18" i="59"/>
  <c r="Q19" i="59"/>
  <c r="Q20" i="59"/>
  <c r="Q21" i="59"/>
  <c r="Q22" i="59"/>
  <c r="Q23" i="59"/>
  <c r="Q24" i="59"/>
  <c r="Q25" i="59"/>
  <c r="Q26" i="59"/>
  <c r="Q27" i="59"/>
  <c r="Q28" i="59"/>
  <c r="Q29" i="59"/>
  <c r="Q30" i="59"/>
  <c r="Q31" i="59"/>
  <c r="Q32" i="59"/>
  <c r="Q16" i="59"/>
  <c r="T19" i="59"/>
  <c r="S18" i="59"/>
  <c r="G40" i="59"/>
  <c r="F40" i="59"/>
  <c r="D40" i="59"/>
  <c r="C40" i="59"/>
  <c r="G39" i="59"/>
  <c r="F39" i="59"/>
  <c r="D39" i="59"/>
  <c r="C39" i="59"/>
  <c r="M38" i="59"/>
  <c r="M39" i="59"/>
  <c r="L38" i="59"/>
  <c r="J38" i="59"/>
  <c r="J39" i="59"/>
  <c r="I38" i="59"/>
  <c r="I39" i="59"/>
  <c r="G38" i="59"/>
  <c r="F38" i="59"/>
  <c r="D38" i="59"/>
  <c r="C38" i="59"/>
  <c r="H37" i="59"/>
  <c r="E37" i="59"/>
  <c r="J30" i="59"/>
  <c r="I30" i="59"/>
  <c r="H30" i="59"/>
  <c r="G30" i="59"/>
  <c r="F30" i="59"/>
  <c r="E30" i="59"/>
  <c r="D30" i="59"/>
  <c r="C30" i="59"/>
  <c r="M29" i="59"/>
  <c r="L29" i="59"/>
  <c r="J29" i="59"/>
  <c r="I29" i="59"/>
  <c r="G29" i="59"/>
  <c r="F29" i="59"/>
  <c r="D29" i="59"/>
  <c r="C29" i="59"/>
  <c r="N28" i="59"/>
  <c r="M28" i="59" s="1"/>
  <c r="L28" i="59" s="1"/>
  <c r="K28" i="59" s="1"/>
  <c r="J28" i="59" s="1"/>
  <c r="I28" i="59" s="1"/>
  <c r="H28" i="59" s="1"/>
  <c r="G28" i="59" s="1"/>
  <c r="F28" i="59" s="1"/>
  <c r="E28" i="59" s="1"/>
  <c r="D28" i="59" s="1"/>
  <c r="C28" i="59" s="1"/>
  <c r="K27" i="59"/>
  <c r="T18" i="59" s="1"/>
  <c r="U18" i="59" s="1"/>
  <c r="N37" i="59"/>
  <c r="K37" i="59"/>
  <c r="T34" i="59" s="1"/>
  <c r="H26" i="59"/>
  <c r="T17" i="59" s="1"/>
  <c r="E26" i="59"/>
  <c r="T16" i="59" s="1"/>
  <c r="O21" i="59"/>
  <c r="C11" i="59"/>
  <c r="D11" i="59"/>
  <c r="E11" i="59"/>
  <c r="F11" i="59"/>
  <c r="G11" i="59"/>
  <c r="H11" i="59"/>
  <c r="I11" i="59"/>
  <c r="J11" i="59"/>
  <c r="K11" i="59"/>
  <c r="L11" i="59"/>
  <c r="K20" i="59"/>
  <c r="H20" i="59"/>
  <c r="E20" i="59"/>
  <c r="S16" i="59" s="1"/>
  <c r="K36" i="59"/>
  <c r="H36" i="59"/>
  <c r="E36" i="59"/>
  <c r="E38" i="59" s="1"/>
  <c r="M11" i="59"/>
  <c r="I40" i="59"/>
  <c r="M40" i="59"/>
  <c r="J40" i="59"/>
  <c r="L39" i="59"/>
  <c r="L40" i="59"/>
  <c r="N11" i="59"/>
  <c r="A10" i="55"/>
  <c r="A11" i="55"/>
  <c r="A12" i="55"/>
  <c r="A13" i="55"/>
  <c r="A14" i="55"/>
  <c r="A15" i="55"/>
  <c r="A16" i="55"/>
  <c r="A17" i="55"/>
  <c r="A9" i="55"/>
  <c r="C14" i="54"/>
  <c r="D14" i="54" s="1"/>
  <c r="E14" i="54" s="1"/>
  <c r="F14" i="54" s="1"/>
  <c r="G14" i="54" s="1"/>
  <c r="H14" i="54" s="1"/>
  <c r="I14" i="54" s="1"/>
  <c r="J14" i="54" s="1"/>
  <c r="K14" i="54" s="1"/>
  <c r="L14" i="54" s="1"/>
  <c r="M14" i="54" s="1"/>
  <c r="N14" i="54" s="1"/>
  <c r="B36" i="53"/>
  <c r="B35" i="53"/>
  <c r="B34" i="53"/>
  <c r="D33" i="53"/>
  <c r="B33" i="53"/>
  <c r="B32" i="53"/>
  <c r="B31" i="53"/>
  <c r="B30" i="53"/>
  <c r="B29" i="53"/>
  <c r="B25" i="53"/>
  <c r="B24" i="53"/>
  <c r="B23" i="53"/>
  <c r="D22" i="53"/>
  <c r="B22" i="53"/>
  <c r="B21" i="53"/>
  <c r="B20" i="53"/>
  <c r="B19" i="53"/>
  <c r="B18" i="53"/>
  <c r="B14" i="53"/>
  <c r="B13" i="53"/>
  <c r="B12" i="53"/>
  <c r="D11" i="53"/>
  <c r="B11" i="53"/>
  <c r="B10" i="53"/>
  <c r="B9" i="53"/>
  <c r="B8" i="53"/>
  <c r="B7" i="53"/>
  <c r="C5" i="50"/>
  <c r="C6" i="50"/>
  <c r="D5" i="50"/>
  <c r="D6" i="50"/>
  <c r="C12" i="50"/>
  <c r="D13" i="50"/>
  <c r="D12" i="50"/>
  <c r="C15" i="50"/>
  <c r="C18" i="50"/>
  <c r="D16" i="50"/>
  <c r="D15" i="50"/>
  <c r="D18" i="50"/>
  <c r="D10" i="50"/>
  <c r="D19" i="50"/>
  <c r="D21" i="50"/>
  <c r="C10" i="50"/>
  <c r="C19" i="50"/>
  <c r="C21" i="50"/>
  <c r="C26" i="50"/>
  <c r="D23" i="50"/>
  <c r="F23" i="50"/>
  <c r="D25" i="50"/>
  <c r="F25" i="50"/>
  <c r="D26" i="50"/>
  <c r="F26" i="50"/>
  <c r="D24" i="50"/>
  <c r="F24" i="50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N20" i="59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K30" i="59" l="1"/>
  <c r="O30" i="59" s="1"/>
  <c r="H38" i="59"/>
  <c r="H39" i="59" s="1"/>
  <c r="H40" i="59" s="1"/>
  <c r="K38" i="59"/>
  <c r="N29" i="59"/>
  <c r="S23" i="59"/>
  <c r="T20" i="59"/>
  <c r="T24" i="59"/>
  <c r="C26" i="55"/>
  <c r="C30" i="55" s="1"/>
  <c r="O7" i="59"/>
  <c r="H29" i="59"/>
  <c r="S17" i="59"/>
  <c r="U17" i="59" s="1"/>
  <c r="F5" i="59"/>
  <c r="F6" i="59" s="1"/>
  <c r="F14" i="59" s="1"/>
  <c r="K29" i="59"/>
  <c r="S19" i="59"/>
  <c r="U19" i="59" s="1"/>
  <c r="K39" i="59"/>
  <c r="K40" i="59" s="1"/>
  <c r="E39" i="59"/>
  <c r="E40" i="59" s="1"/>
  <c r="O20" i="59"/>
  <c r="O9" i="59"/>
  <c r="E29" i="59"/>
  <c r="M5" i="59"/>
  <c r="M6" i="59" s="1"/>
  <c r="M14" i="59" s="1"/>
  <c r="U16" i="59"/>
  <c r="S34" i="59"/>
  <c r="U34" i="59" s="1"/>
  <c r="U35" i="59" s="1"/>
  <c r="H5" i="59"/>
  <c r="H6" i="59" s="1"/>
  <c r="H14" i="59" s="1"/>
  <c r="E12" i="30"/>
  <c r="D8" i="30"/>
  <c r="G8" i="30"/>
  <c r="F8" i="30"/>
  <c r="H8" i="30"/>
  <c r="J5" i="59"/>
  <c r="J6" i="59" s="1"/>
  <c r="J14" i="59" s="1"/>
  <c r="G5" i="59"/>
  <c r="G6" i="59" s="1"/>
  <c r="G14" i="59" s="1"/>
  <c r="K5" i="59"/>
  <c r="K6" i="59" s="1"/>
  <c r="K14" i="59" s="1"/>
  <c r="L5" i="59"/>
  <c r="L6" i="59" s="1"/>
  <c r="L14" i="59" s="1"/>
  <c r="N5" i="59"/>
  <c r="N6" i="59" s="1"/>
  <c r="N14" i="59" s="1"/>
  <c r="I5" i="59"/>
  <c r="I6" i="59" s="1"/>
  <c r="I14" i="59" s="1"/>
  <c r="D5" i="59"/>
  <c r="D6" i="59" s="1"/>
  <c r="D14" i="59" s="1"/>
  <c r="C5" i="59"/>
  <c r="C6" i="59" s="1"/>
  <c r="E5" i="59"/>
  <c r="E6" i="59" s="1"/>
  <c r="E14" i="59" s="1"/>
  <c r="O4" i="59"/>
  <c r="T23" i="59"/>
  <c r="U23" i="59" s="1"/>
  <c r="T36" i="59"/>
  <c r="O29" i="59" l="1"/>
  <c r="S30" i="59"/>
  <c r="T30" i="59"/>
  <c r="U30" i="59" s="1"/>
  <c r="D18" i="55"/>
  <c r="D26" i="55" s="1"/>
  <c r="D16" i="55"/>
  <c r="F16" i="55" s="1"/>
  <c r="D14" i="55"/>
  <c r="F14" i="55" s="1"/>
  <c r="D28" i="55"/>
  <c r="F28" i="55" s="1"/>
  <c r="F12" i="30"/>
  <c r="D12" i="30"/>
  <c r="H12" i="30"/>
  <c r="G12" i="30"/>
  <c r="N36" i="59"/>
  <c r="O8" i="59"/>
  <c r="O3" i="59"/>
  <c r="O6" i="59"/>
  <c r="C14" i="59"/>
  <c r="C10" i="59"/>
  <c r="D10" i="59" s="1"/>
  <c r="E10" i="59" s="1"/>
  <c r="F10" i="59" s="1"/>
  <c r="G10" i="59" s="1"/>
  <c r="H10" i="59" s="1"/>
  <c r="I10" i="59" s="1"/>
  <c r="J10" i="59" s="1"/>
  <c r="K10" i="59" s="1"/>
  <c r="L10" i="59" s="1"/>
  <c r="M10" i="59" s="1"/>
  <c r="N10" i="59" s="1"/>
  <c r="D30" i="55" l="1"/>
  <c r="F18" i="55"/>
  <c r="F26" i="55" s="1"/>
  <c r="E26" i="55" s="1"/>
  <c r="O36" i="59"/>
  <c r="S36" i="59"/>
  <c r="N38" i="59"/>
  <c r="O10" i="59"/>
  <c r="O5" i="59"/>
  <c r="O14" i="59"/>
  <c r="C15" i="59" s="1"/>
  <c r="F30" i="55" l="1"/>
  <c r="O38" i="59"/>
  <c r="N39" i="59"/>
  <c r="N40" i="59" s="1"/>
  <c r="S38" i="59"/>
  <c r="U36" i="59"/>
  <c r="U37" i="59" s="1"/>
  <c r="U38" i="59" s="1"/>
  <c r="O57" i="59"/>
  <c r="O58" i="59"/>
  <c r="C17" i="59"/>
  <c r="C18" i="59" s="1"/>
  <c r="C22" i="59" s="1"/>
  <c r="J15" i="59"/>
  <c r="J17" i="59" s="1"/>
  <c r="J18" i="59" s="1"/>
  <c r="J22" i="59" s="1"/>
  <c r="N15" i="59"/>
  <c r="N17" i="59" s="1"/>
  <c r="N18" i="59" s="1"/>
  <c r="N22" i="59" s="1"/>
  <c r="M15" i="59"/>
  <c r="M17" i="59" s="1"/>
  <c r="M18" i="59" s="1"/>
  <c r="M22" i="59" s="1"/>
  <c r="K15" i="59"/>
  <c r="K17" i="59" s="1"/>
  <c r="K18" i="59" s="1"/>
  <c r="K22" i="59" s="1"/>
  <c r="L15" i="59"/>
  <c r="L17" i="59" s="1"/>
  <c r="L18" i="59" s="1"/>
  <c r="L22" i="59" s="1"/>
  <c r="D15" i="59"/>
  <c r="D17" i="59" s="1"/>
  <c r="D18" i="59" s="1"/>
  <c r="D22" i="59" s="1"/>
  <c r="H15" i="59"/>
  <c r="H17" i="59" s="1"/>
  <c r="H18" i="59" s="1"/>
  <c r="H22" i="59" s="1"/>
  <c r="E15" i="59"/>
  <c r="E17" i="59" s="1"/>
  <c r="E18" i="59" s="1"/>
  <c r="E22" i="59" s="1"/>
  <c r="G15" i="59"/>
  <c r="G17" i="59" s="1"/>
  <c r="G18" i="59" s="1"/>
  <c r="G22" i="59" s="1"/>
  <c r="I15" i="59"/>
  <c r="I17" i="59" s="1"/>
  <c r="I18" i="59" s="1"/>
  <c r="I22" i="59" s="1"/>
  <c r="F15" i="59"/>
  <c r="F17" i="59" s="1"/>
  <c r="F18" i="59" s="1"/>
  <c r="F22" i="59" s="1"/>
  <c r="O39" i="59" l="1"/>
  <c r="O64" i="59"/>
  <c r="O63" i="59"/>
  <c r="O65" i="59" s="1"/>
  <c r="P58" i="59"/>
  <c r="Q58" i="59"/>
  <c r="O59" i="59"/>
  <c r="K23" i="59"/>
  <c r="K24" i="59" s="1"/>
  <c r="K31" i="59"/>
  <c r="K32" i="59" s="1"/>
  <c r="G23" i="59"/>
  <c r="G24" i="59" s="1"/>
  <c r="G31" i="59"/>
  <c r="G32" i="59" s="1"/>
  <c r="I23" i="59"/>
  <c r="I24" i="59" s="1"/>
  <c r="I31" i="59"/>
  <c r="I32" i="59" s="1"/>
  <c r="F31" i="59"/>
  <c r="F32" i="59" s="1"/>
  <c r="F23" i="59"/>
  <c r="F24" i="59" s="1"/>
  <c r="N23" i="59"/>
  <c r="N24" i="59" s="1"/>
  <c r="N31" i="59"/>
  <c r="N32" i="59" s="1"/>
  <c r="J31" i="59"/>
  <c r="J32" i="59" s="1"/>
  <c r="J23" i="59"/>
  <c r="J24" i="59" s="1"/>
  <c r="E31" i="59"/>
  <c r="E32" i="59" s="1"/>
  <c r="E23" i="59"/>
  <c r="E24" i="59" s="1"/>
  <c r="D31" i="59"/>
  <c r="D32" i="59" s="1"/>
  <c r="D23" i="59"/>
  <c r="D24" i="59" s="1"/>
  <c r="O15" i="59"/>
  <c r="M23" i="59"/>
  <c r="M24" i="59" s="1"/>
  <c r="M31" i="59"/>
  <c r="M32" i="59" s="1"/>
  <c r="H31" i="59"/>
  <c r="H32" i="59" s="1"/>
  <c r="H23" i="59"/>
  <c r="H24" i="59" s="1"/>
  <c r="L23" i="59"/>
  <c r="L24" i="59" s="1"/>
  <c r="S24" i="59"/>
  <c r="L31" i="59"/>
  <c r="L32" i="59" s="1"/>
  <c r="S20" i="59"/>
  <c r="C31" i="59"/>
  <c r="C23" i="59"/>
  <c r="C24" i="59" s="1"/>
  <c r="O22" i="59"/>
  <c r="Q64" i="59" l="1"/>
  <c r="P64" i="59"/>
  <c r="O40" i="59"/>
  <c r="O31" i="59"/>
  <c r="C32" i="59"/>
  <c r="S21" i="59"/>
  <c r="U20" i="59"/>
  <c r="S31" i="59"/>
  <c r="O23" i="59"/>
  <c r="O17" i="59"/>
  <c r="U24" i="59"/>
  <c r="U25" i="59" s="1"/>
  <c r="S25" i="59"/>
  <c r="O52" i="59" l="1"/>
  <c r="O51" i="59"/>
  <c r="O18" i="59"/>
  <c r="T31" i="59"/>
  <c r="U31" i="59" s="1"/>
  <c r="U21" i="59"/>
  <c r="T21" i="59" s="1"/>
  <c r="T25" i="59"/>
  <c r="S27" i="59"/>
  <c r="O32" i="59"/>
  <c r="O53" i="59" l="1"/>
  <c r="U27" i="59"/>
  <c r="T27" i="59" s="1"/>
  <c r="P52" i="59"/>
  <c r="Q52" i="59"/>
  <c r="O33" i="59"/>
  <c r="Q63" i="59"/>
  <c r="Q65" i="59" s="1"/>
  <c r="Q51" i="59"/>
  <c r="P51" i="59"/>
  <c r="Q57" i="59"/>
  <c r="Q59" i="59" s="1"/>
  <c r="S40" i="59" s="1"/>
  <c r="S28" i="59"/>
  <c r="O24" i="59"/>
  <c r="P63" i="59"/>
  <c r="P65" i="59" s="1"/>
  <c r="P57" i="59"/>
  <c r="P59" i="59" s="1"/>
  <c r="S39" i="59" s="1"/>
  <c r="S42" i="59" s="1"/>
  <c r="Q53" i="59" l="1"/>
  <c r="U40" i="59" s="1"/>
  <c r="P53" i="59"/>
  <c r="U39" i="59" s="1"/>
  <c r="U42" i="59" s="1"/>
  <c r="U28" i="59"/>
  <c r="U43" i="59" l="1"/>
</calcChain>
</file>

<file path=xl/comments1.xml><?xml version="1.0" encoding="utf-8"?>
<comments xmlns="http://schemas.openxmlformats.org/spreadsheetml/2006/main">
  <authors>
    <author>Fischer, Tricia - Marketing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>Fischer, Tricia - Marketing:</t>
        </r>
        <r>
          <rPr>
            <sz val="9"/>
            <color indexed="81"/>
            <rFont val="Tahoma"/>
            <family val="2"/>
          </rPr>
          <t xml:space="preserve">
Based off cCarbon's volume; allocated 100% no-cost allowances for first compliance period. </t>
        </r>
      </text>
    </comment>
    <comment ref="C14" authorId="0" shapeId="0">
      <text>
        <r>
          <rPr>
            <b/>
            <sz val="9"/>
            <color indexed="81"/>
            <rFont val="Tahoma"/>
            <family val="2"/>
          </rPr>
          <t>Fischer, Tricia - Marketing:</t>
        </r>
        <r>
          <rPr>
            <sz val="9"/>
            <color indexed="81"/>
            <rFont val="Tahoma"/>
            <family val="2"/>
          </rPr>
          <t xml:space="preserve">
From Allocation report on Ecology's website</t>
        </r>
      </text>
    </comment>
  </commentList>
</comments>
</file>

<file path=xl/comments2.xml><?xml version="1.0" encoding="utf-8"?>
<comments xmlns="http://schemas.openxmlformats.org/spreadsheetml/2006/main">
  <authors>
    <author>Pham, Linh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Pham, Linh:</t>
        </r>
        <r>
          <rPr>
            <sz val="9"/>
            <color indexed="81"/>
            <rFont val="Tahoma"/>
            <family val="2"/>
          </rPr>
          <t xml:space="preserve">
lower than previous filing in August. See note
</t>
        </r>
      </text>
    </comment>
  </commentList>
</comments>
</file>

<file path=xl/sharedStrings.xml><?xml version="1.0" encoding="utf-8"?>
<sst xmlns="http://schemas.openxmlformats.org/spreadsheetml/2006/main" count="546" uniqueCount="256">
  <si>
    <t>Forecast used for Position (Dth)</t>
  </si>
  <si>
    <t>Carbon Obligation (mTCO2e)</t>
  </si>
  <si>
    <t>Cumulative EOM Position (mTCO2e)</t>
  </si>
  <si>
    <t>2023 Total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</si>
  <si>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</si>
  <si>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</si>
  <si>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</si>
  <si>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</si>
  <si>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</si>
  <si>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</si>
  <si>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</si>
  <si>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</si>
  <si>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</si>
  <si>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</si>
  <si>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</si>
  <si>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</si>
  <si>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</si>
  <si>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</si>
  <si>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</si>
  <si>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</si>
  <si>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</si>
  <si>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</si>
  <si>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</si>
  <si>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</si>
  <si>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</si>
  <si>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</si>
  <si>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</si>
  <si>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</si>
  <si>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</si>
  <si>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</si>
  <si>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</si>
  <si>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</si>
  <si>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</si>
  <si>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</si>
  <si>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</si>
  <si>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</si>
  <si>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</si>
  <si>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</si>
  <si>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</si>
  <si>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</si>
  <si>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</si>
  <si>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</si>
  <si>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</si>
  <si>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t>Informed by cCarbon 3/14/23 Webinar</t>
  </si>
  <si>
    <t>Est. Allowances Offered at Auction</t>
  </si>
  <si>
    <t>Est. 10% Purchase Limit</t>
  </si>
  <si>
    <t>Quarter 3</t>
  </si>
  <si>
    <t>Quarter 4</t>
  </si>
  <si>
    <t>Informed by Energy GPS "The Emitters" paper</t>
  </si>
  <si>
    <t>Average of Estimates</t>
  </si>
  <si>
    <t>Auction Q3 and Q4</t>
  </si>
  <si>
    <t>Auction Q2</t>
  </si>
  <si>
    <r>
      <t xml:space="preserve">Gas Schedule 111 </t>
    </r>
    <r>
      <rPr>
        <b/>
        <sz val="14"/>
        <color rgb="FFFF0000"/>
        <rFont val="Times New Roman"/>
        <family val="1"/>
      </rPr>
      <t>Charge</t>
    </r>
  </si>
  <si>
    <r>
      <t xml:space="preserve">Gas Schedule 111 </t>
    </r>
    <r>
      <rPr>
        <b/>
        <sz val="14"/>
        <color rgb="FFFF0000"/>
        <rFont val="Times New Roman"/>
        <family val="1"/>
      </rPr>
      <t>Credit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</si>
  <si>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</si>
  <si>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</si>
  <si>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</si>
  <si>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</si>
  <si>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</si>
  <si>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</si>
  <si>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</si>
  <si>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r>
      <rPr>
        <b/>
        <sz val="14"/>
        <color rgb="FFFF0000"/>
        <rFont val="Times New Roman"/>
        <family val="1"/>
      </rPr>
      <t>Total</t>
    </r>
    <r>
      <rPr>
        <b/>
        <sz val="14"/>
        <color rgb="FF0000FF"/>
        <rFont val="Times New Roman"/>
        <family val="1"/>
      </rPr>
      <t xml:space="preserve"> Gas Schedule 111 </t>
    </r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</si>
  <si>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</si>
  <si>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</si>
  <si>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</si>
  <si>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</si>
  <si>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</si>
  <si>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</si>
  <si>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</si>
  <si>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</si>
  <si>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</si>
  <si>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</si>
  <si>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</si>
  <si>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</si>
  <si>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</si>
  <si>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</si>
  <si>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</si>
  <si>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</si>
  <si>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</si>
  <si>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</si>
  <si>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</si>
  <si>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</si>
  <si>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</si>
  <si>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</si>
  <si>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</si>
  <si>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</si>
  <si>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</si>
  <si>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</si>
  <si>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</si>
  <si>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</si>
  <si>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</si>
  <si>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</si>
  <si>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</si>
  <si>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</si>
  <si>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</si>
  <si>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</si>
  <si>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</si>
  <si>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</si>
  <si>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</si>
  <si>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</si>
  <si>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</si>
  <si>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</si>
  <si>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Check 2023</t>
  </si>
  <si>
    <t>actuals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</si>
  <si>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</si>
  <si>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</si>
  <si>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</si>
  <si>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</si>
  <si>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</si>
  <si>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</si>
  <si>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</si>
  <si>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</si>
  <si>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</si>
  <si>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</si>
  <si>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</si>
  <si>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</si>
  <si>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 xml:space="preserve">   Q4</t>
  </si>
  <si>
    <t xml:space="preserve">   Q3</t>
  </si>
  <si>
    <t xml:space="preserve">   Q2</t>
  </si>
  <si>
    <t xml:space="preserve">   Q1</t>
  </si>
  <si>
    <t>PSE's 10% Purchase Limit</t>
  </si>
  <si>
    <t>Estimated Quarterly volumes</t>
  </si>
  <si>
    <t>Total volume expected to be auctioned</t>
  </si>
  <si>
    <t>Auctioned allowances from Ecology/state</t>
  </si>
  <si>
    <t>For Auction from Ecology (e-m)</t>
  </si>
  <si>
    <t>Auctioned allowances from utilities</t>
  </si>
  <si>
    <t>For Auction from Entities (m=j)</t>
  </si>
  <si>
    <t xml:space="preserve">      Electricity (l)</t>
  </si>
  <si>
    <t xml:space="preserve">      Natural Gas (k)</t>
  </si>
  <si>
    <t>No-cost allowances for customer benefit (consignment)</t>
  </si>
  <si>
    <t>No-Cost allocation: for consignment (j=k+l)</t>
  </si>
  <si>
    <t xml:space="preserve">      Electricity (i)</t>
  </si>
  <si>
    <t xml:space="preserve">      Natural Gas (h)</t>
  </si>
  <si>
    <t>No-cost allowances for own benefit</t>
  </si>
  <si>
    <t>No-cost allocation: for Entity (g=h+i)</t>
  </si>
  <si>
    <t>EITEs (f)</t>
  </si>
  <si>
    <t>Allowances to entities via no-cost allocation or auctions</t>
  </si>
  <si>
    <t>Allowances (e=a-b-c-d)</t>
  </si>
  <si>
    <t>5% of annual budget</t>
  </si>
  <si>
    <t>APCR (b)</t>
  </si>
  <si>
    <t>7% reduction of Annual Budget</t>
  </si>
  <si>
    <t>Annual Budget (a)</t>
  </si>
  <si>
    <t>Budget</t>
  </si>
  <si>
    <t>Calculation</t>
  </si>
  <si>
    <t>Supply</t>
  </si>
  <si>
    <t>Est. Emissions (mMT)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</si>
  <si>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</si>
  <si>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</si>
  <si>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</si>
  <si>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Auction purchase price (Actual Settled Price or Nodal Exchange Future)</t>
  </si>
  <si>
    <t>Ave of Daily Settled  Prices for volumes left to cover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</si>
  <si>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</si>
  <si>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</si>
  <si>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</si>
  <si>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</si>
  <si>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</si>
  <si>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</si>
  <si>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</si>
  <si>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</si>
  <si>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</si>
  <si>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</si>
  <si>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</si>
  <si>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</si>
  <si>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</si>
  <si>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Deferral Costs</t>
  </si>
  <si>
    <t>Deferral Credits</t>
  </si>
  <si>
    <t>Net Deferred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</si>
  <si>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</si>
  <si>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</si>
  <si>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</si>
  <si>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</si>
  <si>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</si>
  <si>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</si>
  <si>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</si>
  <si>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</si>
  <si>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</si>
  <si>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</si>
  <si>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</si>
  <si>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</si>
  <si>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</si>
  <si>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</si>
  <si>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</si>
  <si>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</si>
  <si>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</si>
  <si>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</si>
  <si>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</si>
  <si>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</si>
  <si>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</si>
  <si>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</si>
  <si>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</si>
  <si>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</si>
  <si>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</si>
  <si>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</si>
  <si>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</si>
  <si>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</si>
  <si>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</si>
  <si>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 xml:space="preserve">APCR Reserve Auction price (Actual Settled Price or Nodal Exchange Future) </t>
  </si>
  <si>
    <t>Actual/Forecasted Reserve Auction Purchases</t>
  </si>
  <si>
    <t>Reserve Auction Q3</t>
  </si>
  <si>
    <t>Jan-Sept 2023</t>
  </si>
  <si>
    <t xml:space="preserve">   Total Proceeds before B&amp;O Tax</t>
  </si>
  <si>
    <t>Jan-Sept</t>
  </si>
  <si>
    <t>Oct-Dec</t>
  </si>
  <si>
    <t>Check=&gt;</t>
  </si>
  <si>
    <t>80% per emissions volume</t>
  </si>
  <si>
    <t>20% actual ÷ 12 months</t>
  </si>
  <si>
    <t xml:space="preserve">Gas CCA Charge Revenue Requirement </t>
  </si>
  <si>
    <t xml:space="preserve">Gas CCA Credit Revenue Requirement </t>
  </si>
  <si>
    <t>Gas Schedule 111 CCA Deferral Portion of 2023</t>
  </si>
  <si>
    <t>Consigned Allowances</t>
  </si>
  <si>
    <t>Net Proceeds including B&amp;O Tax</t>
  </si>
  <si>
    <t>Gross Proceeds before B&amp;O Tax</t>
  </si>
  <si>
    <t>Allowances Consigned Column O is 65% of line 7 (mTCO2e) book as you sell*</t>
  </si>
  <si>
    <t>chrome-extension://efaidnbmnnnibpcajpcglclefindmkaj/https://apps.ecology.wa.gov/publications/documents/2302067.pdf</t>
  </si>
  <si>
    <t>Floor</t>
  </si>
  <si>
    <t>Row</t>
  </si>
  <si>
    <t>Event</t>
  </si>
  <si>
    <t>Emissions</t>
  </si>
  <si>
    <t>Price</t>
  </si>
  <si>
    <t>Feb Auction</t>
  </si>
  <si>
    <t>May Auction</t>
  </si>
  <si>
    <t>Deferral</t>
  </si>
  <si>
    <t>Aug Auction</t>
  </si>
  <si>
    <t>Dec Auction</t>
  </si>
  <si>
    <t>2023 Obligation (Excl. 35%)</t>
  </si>
  <si>
    <t>Aug APCR Auction</t>
  </si>
  <si>
    <t>2ndry Mkt Non Auction</t>
  </si>
  <si>
    <t>Forecast</t>
  </si>
  <si>
    <t>Purchases Assumed</t>
  </si>
  <si>
    <t>Left to be Covered</t>
  </si>
  <si>
    <t>,</t>
  </si>
  <si>
    <t>Purchases</t>
  </si>
  <si>
    <t>Consignment Sales</t>
  </si>
  <si>
    <t>(Note 1)</t>
  </si>
  <si>
    <r>
      <rPr>
        <sz val="11"/>
        <color rgb="FFFF0000"/>
        <rFont val="Calibri"/>
        <family val="2"/>
      </rPr>
      <t>(Note 1)</t>
    </r>
    <r>
      <rPr>
        <sz val="11"/>
        <color theme="1"/>
        <rFont val="Calibri"/>
        <family val="2"/>
        <scheme val="minor"/>
      </rPr>
      <t xml:space="preserve"> Amounts are validated as the average allowance price falls </t>
    </r>
  </si>
  <si>
    <t>Aug Auction B&amp;O</t>
  </si>
  <si>
    <t>Dec Auction B&amp;O</t>
  </si>
  <si>
    <t>Total Consignment Sales</t>
  </si>
  <si>
    <t>Proceeds Allocation</t>
  </si>
  <si>
    <t>Net Deferral for Rev Req</t>
  </si>
  <si>
    <t>within the range of prices shown in column U, rows 16 - 27 above.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</si>
  <si>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</si>
  <si>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</si>
  <si>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</si>
  <si>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</si>
  <si>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</si>
  <si>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</si>
  <si>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Shaded information is designated as CONFIDENTIAL per WAC 480-07-160</t>
  </si>
  <si>
    <t>(Note 1):</t>
  </si>
  <si>
    <t>The projected total annual amount of revenues from allowances sold at auction pursuant to RCW 70A.65) is split 80/20,</t>
  </si>
  <si>
    <t xml:space="preserve">with 80% of the amount being allocated to the months based on monthly volumes </t>
  </si>
  <si>
    <t>and the remaining 20% being divided by 12 to get the monthly amounts.</t>
  </si>
  <si>
    <t>deferred</t>
  </si>
  <si>
    <t>REVISED filing November 22, 2023  to Update for ECY EXEMPT LOAD - Effective Jan 1, 2024</t>
  </si>
  <si>
    <r>
      <t xml:space="preserve">For Rates effective Nov 1, 2023 to Oct 31, 2024 - </t>
    </r>
    <r>
      <rPr>
        <b/>
        <sz val="10.199999999999999"/>
        <color rgb="FFFF0000"/>
        <rFont val="Times New Roman"/>
        <family val="1"/>
      </rPr>
      <t>REVISED filing November 22, 2023  to Update for ECY EXEMPT LOAD - Effective Jan 1, 2024</t>
    </r>
  </si>
  <si>
    <t>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</si>
</sst>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  <numFmt numFmtId="178" formatCode="#,##0.00000_);\(#,##0.00000\)"/>
    <numFmt numFmtId="179" formatCode="_(&quot;$&quot;* #,##0_);_(&quot;$&quot;* \(#,##0\);_(&quot;$&quot;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9"/>
      <color indexed="81"/>
      <name val="Tahoma"/>
      <family val="2"/>
    </font>
    <font>
      <sz val="11"/>
      <color rgb="FF00CC00"/>
      <name val="Calibri"/>
      <family val="2"/>
      <scheme val="minor"/>
    </font>
    <font>
      <b/>
      <sz val="8"/>
      <color rgb="FFFF0066"/>
      <name val="Calibri"/>
      <family val="2"/>
      <scheme val="minor"/>
    </font>
    <font>
      <sz val="8"/>
      <color rgb="FFFF0066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1"/>
      <color rgb="FF009900"/>
      <name val="Calibri"/>
      <family val="2"/>
      <scheme val="minor"/>
    </font>
    <font>
      <sz val="8"/>
      <color rgb="FF009900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sz val="11"/>
      <color rgb="FFFF0000"/>
      <name val="Calibri"/>
      <family val="2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0.199999999999999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31" fillId="0" borderId="0"/>
    <xf numFmtId="10" fontId="46" fillId="0" borderId="0"/>
    <xf numFmtId="0" fontId="46" fillId="0" borderId="0"/>
    <xf numFmtId="37" fontId="51" fillId="0" borderId="0"/>
    <xf numFmtId="37" fontId="46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01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0" fontId="4" fillId="0" borderId="0" xfId="2"/>
    <xf numFmtId="14" fontId="0" fillId="0" borderId="0" xfId="0" applyNumberFormat="1"/>
    <xf numFmtId="0" fontId="7" fillId="0" borderId="0" xfId="0" applyFont="1" applyFill="1"/>
    <xf numFmtId="0" fontId="8" fillId="0" borderId="4" xfId="0" applyFont="1" applyFill="1" applyBorder="1" applyAlignment="1">
      <alignment horizontal="centerContinuous"/>
    </xf>
    <xf numFmtId="0" fontId="8" fillId="0" borderId="5" xfId="0" applyFont="1" applyFill="1" applyBorder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10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9" fillId="0" borderId="7" xfId="0" applyFont="1" applyFill="1" applyBorder="1" applyAlignment="1">
      <alignment horizontal="left"/>
    </xf>
    <xf numFmtId="0" fontId="7" fillId="0" borderId="1" xfId="0" applyFont="1" applyFill="1" applyBorder="1"/>
    <xf numFmtId="0" fontId="7" fillId="0" borderId="8" xfId="0" applyFont="1" applyFill="1" applyBorder="1"/>
    <xf numFmtId="0" fontId="7" fillId="0" borderId="0" xfId="0" applyNumberFormat="1" applyFont="1" applyFill="1" applyBorder="1" applyAlignment="1">
      <alignment horizontal="center"/>
    </xf>
    <xf numFmtId="0" fontId="7" fillId="0" borderId="9" xfId="0" applyNumberFormat="1" applyFont="1" applyFill="1" applyBorder="1" applyAlignment="1"/>
    <xf numFmtId="10" fontId="7" fillId="0" borderId="0" xfId="0" applyNumberFormat="1" applyFont="1" applyFill="1" applyBorder="1"/>
    <xf numFmtId="10" fontId="7" fillId="0" borderId="10" xfId="0" applyNumberFormat="1" applyFont="1" applyFill="1" applyBorder="1"/>
    <xf numFmtId="9" fontId="7" fillId="0" borderId="1" xfId="0" applyNumberFormat="1" applyFont="1" applyFill="1" applyBorder="1"/>
    <xf numFmtId="10" fontId="9" fillId="0" borderId="8" xfId="0" applyNumberFormat="1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7" fillId="0" borderId="11" xfId="0" applyNumberFormat="1" applyFont="1" applyFill="1" applyBorder="1" applyAlignment="1"/>
    <xf numFmtId="9" fontId="7" fillId="0" borderId="3" xfId="0" applyNumberFormat="1" applyFont="1" applyFill="1" applyBorder="1"/>
    <xf numFmtId="0" fontId="7" fillId="0" borderId="3" xfId="0" applyFont="1" applyFill="1" applyBorder="1"/>
    <xf numFmtId="10" fontId="7" fillId="0" borderId="5" xfId="0" applyNumberFormat="1" applyFont="1" applyFill="1" applyBorder="1"/>
    <xf numFmtId="165" fontId="9" fillId="0" borderId="8" xfId="0" applyNumberFormat="1" applyFont="1" applyFill="1" applyBorder="1"/>
    <xf numFmtId="0" fontId="9" fillId="4" borderId="7" xfId="0" applyFont="1" applyFill="1" applyBorder="1" applyAlignment="1">
      <alignment horizontal="left"/>
    </xf>
    <xf numFmtId="0" fontId="7" fillId="4" borderId="1" xfId="0" applyFont="1" applyFill="1" applyBorder="1"/>
    <xf numFmtId="0" fontId="7" fillId="4" borderId="8" xfId="0" applyFont="1" applyFill="1" applyBorder="1"/>
    <xf numFmtId="0" fontId="7" fillId="4" borderId="9" xfId="0" applyNumberFormat="1" applyFont="1" applyFill="1" applyBorder="1" applyAlignment="1"/>
    <xf numFmtId="10" fontId="7" fillId="4" borderId="0" xfId="0" applyNumberFormat="1" applyFont="1" applyFill="1" applyBorder="1"/>
    <xf numFmtId="10" fontId="7" fillId="4" borderId="10" xfId="0" applyNumberFormat="1" applyFont="1" applyFill="1" applyBorder="1"/>
    <xf numFmtId="9" fontId="7" fillId="4" borderId="1" xfId="0" applyNumberFormat="1" applyFont="1" applyFill="1" applyBorder="1"/>
    <xf numFmtId="0" fontId="7" fillId="4" borderId="0" xfId="0" applyFont="1" applyFill="1" applyBorder="1"/>
    <xf numFmtId="0" fontId="7" fillId="4" borderId="10" xfId="0" applyFont="1" applyFill="1" applyBorder="1"/>
    <xf numFmtId="0" fontId="7" fillId="4" borderId="11" xfId="0" applyNumberFormat="1" applyFont="1" applyFill="1" applyBorder="1" applyAlignment="1"/>
    <xf numFmtId="9" fontId="7" fillId="4" borderId="3" xfId="0" applyNumberFormat="1" applyFont="1" applyFill="1" applyBorder="1"/>
    <xf numFmtId="0" fontId="7" fillId="4" borderId="3" xfId="0" applyFont="1" applyFill="1" applyBorder="1"/>
    <xf numFmtId="10" fontId="7" fillId="4" borderId="5" xfId="0" applyNumberFormat="1" applyFont="1" applyFill="1" applyBorder="1"/>
    <xf numFmtId="10" fontId="9" fillId="4" borderId="8" xfId="0" applyNumberFormat="1" applyFont="1" applyFill="1" applyBorder="1"/>
    <xf numFmtId="0" fontId="8" fillId="0" borderId="3" xfId="0" applyFont="1" applyFill="1" applyBorder="1" applyAlignment="1">
      <alignment horizontal="centerContinuous"/>
    </xf>
    <xf numFmtId="0" fontId="7" fillId="0" borderId="6" xfId="0" applyFont="1" applyFill="1" applyBorder="1"/>
    <xf numFmtId="167" fontId="7" fillId="0" borderId="0" xfId="0" applyNumberFormat="1" applyFont="1" applyFill="1" applyBorder="1" applyAlignment="1"/>
    <xf numFmtId="9" fontId="7" fillId="0" borderId="0" xfId="0" applyNumberFormat="1" applyFont="1" applyFill="1" applyAlignment="1"/>
    <xf numFmtId="0" fontId="12" fillId="0" borderId="0" xfId="0" applyFont="1"/>
    <xf numFmtId="164" fontId="12" fillId="0" borderId="0" xfId="1" applyNumberFormat="1" applyFont="1" applyAlignment="1">
      <alignment horizontal="center"/>
    </xf>
    <xf numFmtId="168" fontId="7" fillId="0" borderId="0" xfId="0" applyNumberFormat="1" applyFont="1" applyFill="1" applyAlignment="1" applyProtection="1">
      <alignment horizontal="left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/>
    <xf numFmtId="167" fontId="7" fillId="0" borderId="10" xfId="0" applyNumberFormat="1" applyFont="1" applyFill="1" applyBorder="1" applyAlignment="1"/>
    <xf numFmtId="167" fontId="14" fillId="0" borderId="10" xfId="0" applyNumberFormat="1" applyFont="1" applyFill="1" applyBorder="1" applyAlignment="1"/>
    <xf numFmtId="167" fontId="7" fillId="0" borderId="12" xfId="0" applyNumberFormat="1" applyFont="1" applyFill="1" applyBorder="1" applyAlignment="1"/>
    <xf numFmtId="9" fontId="7" fillId="0" borderId="0" xfId="0" applyNumberFormat="1" applyFont="1" applyFill="1" applyBorder="1" applyAlignment="1"/>
    <xf numFmtId="0" fontId="5" fillId="0" borderId="6" xfId="2" applyFont="1" applyBorder="1" applyAlignment="1">
      <alignment horizontal="center" vertical="center"/>
    </xf>
    <xf numFmtId="0" fontId="4" fillId="0" borderId="6" xfId="2" applyFill="1" applyBorder="1" applyAlignment="1">
      <alignment horizontal="center" wrapText="1"/>
    </xf>
    <xf numFmtId="0" fontId="4" fillId="2" borderId="6" xfId="2" applyFill="1" applyBorder="1" applyAlignment="1">
      <alignment horizontal="center" wrapText="1"/>
    </xf>
    <xf numFmtId="14" fontId="0" fillId="3" borderId="0" xfId="0" applyNumberFormat="1" applyFill="1"/>
    <xf numFmtId="0" fontId="17" fillId="0" borderId="0" xfId="2" applyFont="1"/>
    <xf numFmtId="0" fontId="19" fillId="0" borderId="0" xfId="0" applyFont="1" applyFill="1"/>
    <xf numFmtId="0" fontId="20" fillId="0" borderId="0" xfId="0" applyFont="1" applyFill="1"/>
    <xf numFmtId="0" fontId="12" fillId="0" borderId="0" xfId="0" applyFont="1" applyFill="1"/>
    <xf numFmtId="0" fontId="21" fillId="0" borderId="0" xfId="0" applyFont="1" applyAlignment="1">
      <alignment horizontal="center"/>
    </xf>
    <xf numFmtId="38" fontId="21" fillId="0" borderId="0" xfId="1" applyNumberFormat="1" applyFont="1" applyAlignment="1">
      <alignment horizontal="center"/>
    </xf>
    <xf numFmtId="0" fontId="22" fillId="0" borderId="0" xfId="0" applyFont="1" applyFill="1" applyAlignment="1"/>
    <xf numFmtId="0" fontId="7" fillId="0" borderId="7" xfId="0" applyFont="1" applyFill="1" applyBorder="1"/>
    <xf numFmtId="0" fontId="7" fillId="0" borderId="9" xfId="0" applyNumberFormat="1" applyFont="1" applyFill="1" applyBorder="1" applyAlignment="1">
      <alignment horizontal="center"/>
    </xf>
    <xf numFmtId="0" fontId="7" fillId="0" borderId="11" xfId="0" applyNumberFormat="1" applyFont="1" applyFill="1" applyBorder="1" applyAlignment="1">
      <alignment horizontal="center"/>
    </xf>
    <xf numFmtId="0" fontId="7" fillId="0" borderId="6" xfId="0" applyNumberFormat="1" applyFont="1" applyFill="1" applyBorder="1" applyAlignment="1">
      <alignment horizontal="left"/>
    </xf>
    <xf numFmtId="0" fontId="7" fillId="0" borderId="6" xfId="0" applyNumberFormat="1" applyFont="1" applyFill="1" applyBorder="1" applyAlignment="1"/>
    <xf numFmtId="167" fontId="7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2" fillId="0" borderId="0" xfId="0" applyNumberFormat="1" applyFont="1" applyFill="1" applyAlignment="1" applyProtection="1">
      <alignment horizontal="left"/>
    </xf>
    <xf numFmtId="0" fontId="19" fillId="6" borderId="0" xfId="0" applyFont="1" applyFill="1" applyAlignment="1">
      <alignment horizontal="centerContinuous"/>
    </xf>
    <xf numFmtId="0" fontId="20" fillId="6" borderId="0" xfId="0" applyFont="1" applyFill="1" applyAlignment="1">
      <alignment horizontal="centerContinuous"/>
    </xf>
    <xf numFmtId="0" fontId="12" fillId="6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3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3" fillId="0" borderId="13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5" fillId="0" borderId="10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center"/>
    </xf>
    <xf numFmtId="0" fontId="25" fillId="0" borderId="14" xfId="0" quotePrefix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right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/>
    </xf>
    <xf numFmtId="0" fontId="25" fillId="0" borderId="15" xfId="0" quotePrefix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6" fillId="0" borderId="15" xfId="12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8" fillId="0" borderId="0" xfId="13"/>
    <xf numFmtId="0" fontId="1" fillId="5" borderId="0" xfId="11"/>
    <xf numFmtId="17" fontId="2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/>
    </xf>
    <xf numFmtId="9" fontId="0" fillId="0" borderId="0" xfId="9" applyFont="1"/>
    <xf numFmtId="0" fontId="30" fillId="0" borderId="0" xfId="0" applyFont="1" applyAlignment="1">
      <alignment horizontal="left"/>
    </xf>
    <xf numFmtId="44" fontId="2" fillId="0" borderId="0" xfId="10" applyFont="1"/>
    <xf numFmtId="0" fontId="2" fillId="0" borderId="0" xfId="0" applyFont="1"/>
    <xf numFmtId="14" fontId="22" fillId="0" borderId="0" xfId="0" applyNumberFormat="1" applyFont="1"/>
    <xf numFmtId="0" fontId="0" fillId="0" borderId="1" xfId="0" applyFill="1" applyBorder="1" applyAlignment="1"/>
    <xf numFmtId="0" fontId="12" fillId="0" borderId="0" xfId="0" applyFont="1" applyAlignment="1">
      <alignment horizontal="center"/>
    </xf>
    <xf numFmtId="0" fontId="4" fillId="0" borderId="0" xfId="2" applyFill="1" applyBorder="1" applyAlignment="1">
      <alignment horizontal="center" wrapText="1"/>
    </xf>
    <xf numFmtId="0" fontId="4" fillId="2" borderId="0" xfId="2" applyFill="1" applyBorder="1" applyAlignment="1">
      <alignment horizontal="center" wrapText="1"/>
    </xf>
    <xf numFmtId="0" fontId="31" fillId="7" borderId="25" xfId="14" applyFill="1" applyBorder="1"/>
    <xf numFmtId="0" fontId="31" fillId="7" borderId="26" xfId="14" applyFill="1" applyBorder="1"/>
    <xf numFmtId="0" fontId="31" fillId="7" borderId="27" xfId="14" applyFill="1" applyBorder="1"/>
    <xf numFmtId="0" fontId="31" fillId="0" borderId="0" xfId="14"/>
    <xf numFmtId="0" fontId="31" fillId="7" borderId="28" xfId="14" applyFill="1" applyBorder="1"/>
    <xf numFmtId="0" fontId="31" fillId="7" borderId="0" xfId="14" applyFill="1" applyBorder="1"/>
    <xf numFmtId="0" fontId="31" fillId="7" borderId="29" xfId="14" applyFill="1" applyBorder="1"/>
    <xf numFmtId="0" fontId="32" fillId="7" borderId="0" xfId="14" applyFont="1" applyFill="1" applyBorder="1"/>
    <xf numFmtId="0" fontId="31" fillId="7" borderId="30" xfId="14" applyFill="1" applyBorder="1"/>
    <xf numFmtId="0" fontId="31" fillId="7" borderId="31" xfId="14" applyFill="1" applyBorder="1"/>
    <xf numFmtId="0" fontId="31" fillId="7" borderId="32" xfId="14" applyFill="1" applyBorder="1"/>
    <xf numFmtId="0" fontId="33" fillId="0" borderId="0" xfId="0" applyFont="1"/>
    <xf numFmtId="5" fontId="2" fillId="0" borderId="0" xfId="0" applyNumberFormat="1" applyFont="1" applyFill="1" applyBorder="1"/>
    <xf numFmtId="164" fontId="0" fillId="0" borderId="0" xfId="4" applyNumberFormat="1" applyFont="1"/>
    <xf numFmtId="37" fontId="0" fillId="0" borderId="0" xfId="0" applyNumberFormat="1" applyFont="1"/>
    <xf numFmtId="0" fontId="2" fillId="8" borderId="0" xfId="0" applyFont="1" applyFill="1" applyAlignment="1">
      <alignment horizontal="center"/>
    </xf>
    <xf numFmtId="37" fontId="1" fillId="8" borderId="0" xfId="1" applyNumberFormat="1" applyFont="1" applyFill="1" applyBorder="1"/>
    <xf numFmtId="37" fontId="1" fillId="8" borderId="1" xfId="1" applyNumberFormat="1" applyFont="1" applyFill="1" applyBorder="1"/>
    <xf numFmtId="37" fontId="0" fillId="8" borderId="1" xfId="0" applyNumberFormat="1" applyFont="1" applyFill="1" applyBorder="1"/>
    <xf numFmtId="0" fontId="3" fillId="8" borderId="0" xfId="0" applyFont="1" applyFill="1"/>
    <xf numFmtId="37" fontId="3" fillId="8" borderId="0" xfId="0" applyNumberFormat="1" applyFont="1" applyFill="1"/>
    <xf numFmtId="37" fontId="0" fillId="8" borderId="0" xfId="0" applyNumberFormat="1" applyFont="1" applyFill="1" applyBorder="1"/>
    <xf numFmtId="5" fontId="0" fillId="8" borderId="0" xfId="0" applyNumberFormat="1" applyFont="1" applyFill="1" applyBorder="1"/>
    <xf numFmtId="5" fontId="0" fillId="8" borderId="0" xfId="0" applyNumberFormat="1" applyFont="1" applyFill="1" applyBorder="1" applyAlignment="1">
      <alignment vertical="center"/>
    </xf>
    <xf numFmtId="5" fontId="0" fillId="8" borderId="1" xfId="0" applyNumberFormat="1" applyFont="1" applyFill="1" applyBorder="1"/>
    <xf numFmtId="10" fontId="3" fillId="8" borderId="0" xfId="9" applyNumberFormat="1" applyFont="1" applyFill="1" applyBorder="1"/>
    <xf numFmtId="37" fontId="3" fillId="8" borderId="0" xfId="0" applyNumberFormat="1" applyFont="1" applyFill="1" applyBorder="1"/>
    <xf numFmtId="5" fontId="35" fillId="8" borderId="0" xfId="0" applyNumberFormat="1" applyFont="1" applyFill="1" applyBorder="1"/>
    <xf numFmtId="0" fontId="37" fillId="0" borderId="0" xfId="0" applyFont="1" applyAlignment="1"/>
    <xf numFmtId="0" fontId="37" fillId="0" borderId="0" xfId="0" applyFont="1" applyAlignment="1">
      <alignment horizontal="center"/>
    </xf>
    <xf numFmtId="0" fontId="37" fillId="0" borderId="0" xfId="0" applyFont="1" applyFill="1" applyAlignment="1">
      <alignment horizontal="center"/>
    </xf>
    <xf numFmtId="38" fontId="36" fillId="0" borderId="0" xfId="0" applyNumberFormat="1" applyFont="1" applyAlignment="1">
      <alignment horizontal="center"/>
    </xf>
    <xf numFmtId="17" fontId="36" fillId="0" borderId="0" xfId="0" applyNumberFormat="1" applyFont="1" applyAlignment="1">
      <alignment horizontal="center" vertical="center" wrapText="1"/>
    </xf>
    <xf numFmtId="17" fontId="2" fillId="3" borderId="0" xfId="0" applyNumberFormat="1" applyFont="1" applyFill="1" applyAlignment="1">
      <alignment horizontal="center"/>
    </xf>
    <xf numFmtId="37" fontId="0" fillId="3" borderId="0" xfId="1" applyNumberFormat="1" applyFont="1" applyFill="1" applyBorder="1"/>
    <xf numFmtId="37" fontId="0" fillId="3" borderId="1" xfId="1" applyNumberFormat="1" applyFont="1" applyFill="1" applyBorder="1"/>
    <xf numFmtId="166" fontId="16" fillId="3" borderId="0" xfId="1" applyNumberFormat="1" applyFont="1" applyFill="1" applyBorder="1"/>
    <xf numFmtId="37" fontId="3" fillId="3" borderId="0" xfId="1" applyNumberFormat="1" applyFont="1" applyFill="1"/>
    <xf numFmtId="37" fontId="0" fillId="3" borderId="0" xfId="0" applyNumberFormat="1" applyFill="1" applyBorder="1"/>
    <xf numFmtId="7" fontId="6" fillId="3" borderId="0" xfId="1" applyNumberFormat="1" applyFont="1" applyFill="1" applyBorder="1"/>
    <xf numFmtId="44" fontId="6" fillId="3" borderId="0" xfId="1" applyNumberFormat="1" applyFont="1" applyFill="1" applyBorder="1"/>
    <xf numFmtId="7" fontId="6" fillId="3" borderId="0" xfId="1" applyNumberFormat="1" applyFont="1" applyFill="1" applyBorder="1" applyAlignment="1">
      <alignment vertical="center"/>
    </xf>
    <xf numFmtId="5" fontId="0" fillId="3" borderId="0" xfId="0" applyNumberFormat="1" applyFill="1" applyBorder="1"/>
    <xf numFmtId="5" fontId="0" fillId="3" borderId="1" xfId="0" applyNumberFormat="1" applyFill="1" applyBorder="1"/>
    <xf numFmtId="7" fontId="3" fillId="3" borderId="0" xfId="0" applyNumberFormat="1" applyFont="1" applyFill="1" applyBorder="1" applyAlignment="1">
      <alignment horizontal="center"/>
    </xf>
    <xf numFmtId="37" fontId="3" fillId="3" borderId="0" xfId="1" applyNumberFormat="1" applyFont="1" applyFill="1" applyBorder="1"/>
    <xf numFmtId="17" fontId="2" fillId="9" borderId="0" xfId="0" applyNumberFormat="1" applyFont="1" applyFill="1" applyAlignment="1">
      <alignment horizontal="center"/>
    </xf>
    <xf numFmtId="37" fontId="0" fillId="9" borderId="0" xfId="1" applyNumberFormat="1" applyFont="1" applyFill="1" applyBorder="1"/>
    <xf numFmtId="37" fontId="0" fillId="9" borderId="1" xfId="1" applyNumberFormat="1" applyFont="1" applyFill="1" applyBorder="1"/>
    <xf numFmtId="166" fontId="16" fillId="9" borderId="0" xfId="1" applyNumberFormat="1" applyFont="1" applyFill="1" applyBorder="1"/>
    <xf numFmtId="37" fontId="3" fillId="9" borderId="0" xfId="1" applyNumberFormat="1" applyFont="1" applyFill="1"/>
    <xf numFmtId="37" fontId="0" fillId="9" borderId="0" xfId="0" applyNumberFormat="1" applyFill="1" applyBorder="1"/>
    <xf numFmtId="7" fontId="6" fillId="9" borderId="0" xfId="1" applyNumberFormat="1" applyFont="1" applyFill="1" applyBorder="1"/>
    <xf numFmtId="7" fontId="6" fillId="9" borderId="0" xfId="1" applyNumberFormat="1" applyFont="1" applyFill="1" applyBorder="1" applyAlignment="1">
      <alignment vertical="center"/>
    </xf>
    <xf numFmtId="5" fontId="0" fillId="9" borderId="0" xfId="0" applyNumberFormat="1" applyFill="1" applyBorder="1"/>
    <xf numFmtId="5" fontId="0" fillId="9" borderId="1" xfId="0" applyNumberFormat="1" applyFill="1" applyBorder="1"/>
    <xf numFmtId="37" fontId="3" fillId="9" borderId="0" xfId="1" applyNumberFormat="1" applyFont="1" applyFill="1" applyBorder="1"/>
    <xf numFmtId="0" fontId="0" fillId="0" borderId="0" xfId="0" applyFont="1" applyFill="1"/>
    <xf numFmtId="0" fontId="16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37" fillId="0" borderId="0" xfId="0" applyFont="1" applyFill="1" applyAlignment="1"/>
    <xf numFmtId="0" fontId="26" fillId="0" borderId="0" xfId="0" applyFont="1" applyAlignment="1"/>
    <xf numFmtId="0" fontId="38" fillId="0" borderId="0" xfId="0" applyFont="1" applyAlignment="1">
      <alignment horizontal="center"/>
    </xf>
    <xf numFmtId="0" fontId="26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6" fillId="0" borderId="13" xfId="0" applyFont="1" applyBorder="1"/>
    <xf numFmtId="0" fontId="41" fillId="0" borderId="0" xfId="0" applyFont="1" applyAlignment="1">
      <alignment horizontal="center"/>
    </xf>
    <xf numFmtId="5" fontId="40" fillId="8" borderId="0" xfId="0" applyNumberFormat="1" applyFont="1" applyFill="1" applyBorder="1"/>
    <xf numFmtId="5" fontId="40" fillId="3" borderId="0" xfId="0" applyNumberFormat="1" applyFont="1" applyFill="1" applyBorder="1"/>
    <xf numFmtId="5" fontId="40" fillId="9" borderId="0" xfId="0" applyNumberFormat="1" applyFont="1" applyFill="1" applyBorder="1"/>
    <xf numFmtId="37" fontId="40" fillId="8" borderId="2" xfId="1" applyNumberFormat="1" applyFont="1" applyFill="1" applyBorder="1"/>
    <xf numFmtId="5" fontId="39" fillId="3" borderId="2" xfId="0" applyNumberFormat="1" applyFont="1" applyFill="1" applyBorder="1"/>
    <xf numFmtId="5" fontId="39" fillId="9" borderId="2" xfId="0" applyNumberFormat="1" applyFont="1" applyFill="1" applyBorder="1"/>
    <xf numFmtId="164" fontId="4" fillId="0" borderId="0" xfId="2" applyNumberFormat="1"/>
    <xf numFmtId="43" fontId="4" fillId="0" borderId="0" xfId="2" applyNumberFormat="1"/>
    <xf numFmtId="0" fontId="4" fillId="0" borderId="0" xfId="2" applyFont="1"/>
    <xf numFmtId="164" fontId="5" fillId="0" borderId="0" xfId="2" applyNumberFormat="1" applyFont="1"/>
    <xf numFmtId="0" fontId="5" fillId="0" borderId="0" xfId="2" applyFont="1"/>
    <xf numFmtId="164" fontId="5" fillId="0" borderId="0" xfId="4" applyNumberFormat="1" applyFont="1"/>
    <xf numFmtId="37" fontId="0" fillId="3" borderId="1" xfId="0" applyNumberFormat="1" applyFill="1" applyBorder="1"/>
    <xf numFmtId="37" fontId="0" fillId="9" borderId="1" xfId="0" applyNumberFormat="1" applyFill="1" applyBorder="1"/>
    <xf numFmtId="37" fontId="3" fillId="8" borderId="0" xfId="1" applyNumberFormat="1" applyFont="1" applyFill="1" applyBorder="1"/>
    <xf numFmtId="37" fontId="21" fillId="8" borderId="0" xfId="1" applyNumberFormat="1" applyFont="1" applyFill="1" applyBorder="1"/>
    <xf numFmtId="37" fontId="21" fillId="3" borderId="0" xfId="0" applyNumberFormat="1" applyFont="1" applyFill="1" applyBorder="1"/>
    <xf numFmtId="37" fontId="21" fillId="9" borderId="0" xfId="0" applyNumberFormat="1" applyFont="1" applyFill="1" applyBorder="1"/>
    <xf numFmtId="0" fontId="21" fillId="0" borderId="0" xfId="0" applyFont="1" applyAlignment="1">
      <alignment horizontal="right"/>
    </xf>
    <xf numFmtId="0" fontId="44" fillId="11" borderId="0" xfId="0" applyFont="1" applyFill="1" applyAlignment="1"/>
    <xf numFmtId="166" fontId="45" fillId="11" borderId="0" xfId="1" applyNumberFormat="1" applyFont="1" applyFill="1" applyBorder="1"/>
    <xf numFmtId="166" fontId="45" fillId="11" borderId="0" xfId="1" applyNumberFormat="1" applyFont="1" applyFill="1"/>
    <xf numFmtId="0" fontId="15" fillId="0" borderId="0" xfId="0" applyFont="1" applyFill="1" applyBorder="1" applyAlignment="1">
      <alignment horizontal="center"/>
    </xf>
    <xf numFmtId="17" fontId="2" fillId="9" borderId="0" xfId="0" applyNumberFormat="1" applyFont="1" applyFill="1" applyBorder="1" applyAlignment="1">
      <alignment horizontal="center"/>
    </xf>
    <xf numFmtId="10" fontId="47" fillId="0" borderId="0" xfId="15" applyFont="1"/>
    <xf numFmtId="0" fontId="48" fillId="0" borderId="0" xfId="16" applyFont="1" applyBorder="1" applyAlignment="1" applyProtection="1">
      <alignment horizontal="centerContinuous" vertical="center" wrapText="1"/>
    </xf>
    <xf numFmtId="10" fontId="49" fillId="0" borderId="0" xfId="15" applyFont="1" applyAlignment="1">
      <alignment horizontal="centerContinuous"/>
    </xf>
    <xf numFmtId="10" fontId="47" fillId="0" borderId="0" xfId="15" applyFont="1" applyAlignment="1">
      <alignment horizontal="centerContinuous"/>
    </xf>
    <xf numFmtId="10" fontId="48" fillId="0" borderId="0" xfId="15" applyFont="1" applyBorder="1" applyAlignment="1" applyProtection="1">
      <alignment horizontal="centerContinuous" vertical="center" wrapText="1"/>
    </xf>
    <xf numFmtId="172" fontId="48" fillId="0" borderId="0" xfId="15" applyNumberFormat="1" applyFont="1" applyBorder="1" applyAlignment="1" applyProtection="1">
      <alignment horizontal="centerContinuous" vertical="center" wrapText="1"/>
    </xf>
    <xf numFmtId="37" fontId="47" fillId="0" borderId="0" xfId="15" applyNumberFormat="1" applyFont="1"/>
    <xf numFmtId="165" fontId="47" fillId="0" borderId="0" xfId="15" applyNumberFormat="1" applyFont="1"/>
    <xf numFmtId="10" fontId="27" fillId="0" borderId="0" xfId="15" applyFont="1"/>
    <xf numFmtId="173" fontId="50" fillId="0" borderId="0" xfId="15" applyNumberFormat="1" applyFont="1" applyBorder="1" applyAlignment="1" applyProtection="1">
      <alignment horizontal="centerContinuous" vertical="center" wrapText="1"/>
    </xf>
    <xf numFmtId="1" fontId="47" fillId="0" borderId="0" xfId="15" applyNumberFormat="1" applyFont="1" applyAlignment="1" applyProtection="1">
      <alignment horizontal="center"/>
    </xf>
    <xf numFmtId="37" fontId="47" fillId="0" borderId="0" xfId="17" applyFont="1"/>
    <xf numFmtId="10" fontId="43" fillId="0" borderId="0" xfId="15" applyFont="1"/>
    <xf numFmtId="1" fontId="51" fillId="0" borderId="0" xfId="15" applyNumberFormat="1" applyFont="1" applyAlignment="1" applyProtection="1">
      <alignment horizontal="center"/>
    </xf>
    <xf numFmtId="37" fontId="52" fillId="0" borderId="0" xfId="18" applyFont="1" applyAlignment="1" applyProtection="1">
      <alignment horizontal="center"/>
    </xf>
    <xf numFmtId="10" fontId="27" fillId="0" borderId="0" xfId="15" applyFont="1" applyAlignment="1">
      <alignment horizontal="center"/>
    </xf>
    <xf numFmtId="10" fontId="49" fillId="0" borderId="0" xfId="15" applyFont="1" applyAlignment="1">
      <alignment horizontal="center"/>
    </xf>
    <xf numFmtId="10" fontId="49" fillId="0" borderId="0" xfId="15" applyFont="1" applyAlignment="1" applyProtection="1">
      <alignment horizontal="center"/>
    </xf>
    <xf numFmtId="10" fontId="53" fillId="0" borderId="0" xfId="15" applyFont="1" applyAlignment="1" applyProtection="1">
      <alignment horizontal="center"/>
    </xf>
    <xf numFmtId="10" fontId="27" fillId="0" borderId="0" xfId="15" applyFont="1" applyAlignment="1" applyProtection="1">
      <alignment horizontal="left"/>
    </xf>
    <xf numFmtId="5" fontId="27" fillId="0" borderId="0" xfId="19" applyNumberFormat="1" applyFont="1" applyAlignment="1" applyProtection="1"/>
    <xf numFmtId="174" fontId="27" fillId="0" borderId="0" xfId="15" applyNumberFormat="1" applyFont="1" applyAlignment="1" applyProtection="1"/>
    <xf numFmtId="10" fontId="27" fillId="0" borderId="0" xfId="15" applyFont="1" applyFill="1" applyAlignment="1" applyProtection="1"/>
    <xf numFmtId="10" fontId="27" fillId="0" borderId="0" xfId="15" applyNumberFormat="1" applyFont="1" applyAlignment="1" applyProtection="1"/>
    <xf numFmtId="5" fontId="27" fillId="0" borderId="0" xfId="15" applyNumberFormat="1" applyFont="1" applyAlignment="1" applyProtection="1"/>
    <xf numFmtId="10" fontId="27" fillId="0" borderId="0" xfId="15" applyFont="1" applyAlignment="1" applyProtection="1"/>
    <xf numFmtId="10" fontId="54" fillId="0" borderId="0" xfId="15" applyNumberFormat="1" applyFont="1" applyFill="1" applyAlignment="1" applyProtection="1"/>
    <xf numFmtId="10" fontId="27" fillId="0" borderId="0" xfId="15" applyFont="1" applyBorder="1" applyAlignment="1" applyProtection="1"/>
    <xf numFmtId="10" fontId="49" fillId="0" borderId="0" xfId="15" applyFont="1"/>
    <xf numFmtId="5" fontId="27" fillId="0" borderId="0" xfId="15" applyNumberFormat="1" applyFont="1" applyAlignment="1"/>
    <xf numFmtId="10" fontId="27" fillId="0" borderId="0" xfId="15" applyNumberFormat="1" applyFont="1" applyAlignment="1"/>
    <xf numFmtId="10" fontId="55" fillId="0" borderId="0" xfId="15" applyFont="1" applyBorder="1"/>
    <xf numFmtId="10" fontId="47" fillId="0" borderId="0" xfId="15" applyFont="1" applyBorder="1"/>
    <xf numFmtId="37" fontId="47" fillId="0" borderId="0" xfId="15" applyNumberFormat="1" applyFont="1" applyBorder="1"/>
    <xf numFmtId="175" fontId="55" fillId="0" borderId="0" xfId="15" applyNumberFormat="1" applyFont="1" applyBorder="1"/>
    <xf numFmtId="5" fontId="27" fillId="0" borderId="0" xfId="15" applyNumberFormat="1" applyFont="1" applyFill="1" applyAlignment="1"/>
    <xf numFmtId="10" fontId="27" fillId="0" borderId="0" xfId="15" applyNumberFormat="1" applyFont="1" applyFill="1" applyAlignment="1" applyProtection="1"/>
    <xf numFmtId="10" fontId="27" fillId="0" borderId="0" xfId="17" applyNumberFormat="1" applyFont="1" applyFill="1" applyAlignment="1" applyProtection="1"/>
    <xf numFmtId="10" fontId="27" fillId="0" borderId="0" xfId="15" applyFont="1" applyFill="1" applyBorder="1" applyAlignment="1" applyProtection="1"/>
    <xf numFmtId="174" fontId="47" fillId="0" borderId="0" xfId="20" applyNumberFormat="1" applyFont="1"/>
    <xf numFmtId="10" fontId="49" fillId="0" borderId="0" xfId="15" applyFont="1" applyAlignment="1" applyProtection="1">
      <alignment horizontal="left"/>
    </xf>
    <xf numFmtId="5" fontId="56" fillId="0" borderId="0" xfId="15" applyNumberFormat="1" applyFont="1" applyFill="1" applyBorder="1" applyAlignment="1" applyProtection="1"/>
    <xf numFmtId="10" fontId="56" fillId="0" borderId="0" xfId="15" applyNumberFormat="1" applyFont="1" applyFill="1" applyAlignment="1" applyProtection="1"/>
    <xf numFmtId="10" fontId="27" fillId="0" borderId="0" xfId="15" applyNumberFormat="1" applyFont="1" applyFill="1" applyBorder="1" applyAlignment="1" applyProtection="1"/>
    <xf numFmtId="10" fontId="56" fillId="0" borderId="0" xfId="15" applyNumberFormat="1" applyFont="1" applyAlignment="1" applyProtection="1"/>
    <xf numFmtId="176" fontId="57" fillId="0" borderId="0" xfId="15" applyNumberFormat="1" applyFont="1" applyBorder="1" applyAlignment="1">
      <alignment horizontal="center"/>
    </xf>
    <xf numFmtId="37" fontId="27" fillId="0" borderId="0" xfId="15" applyNumberFormat="1" applyFont="1" applyBorder="1" applyAlignment="1">
      <alignment horizontal="center"/>
    </xf>
    <xf numFmtId="10" fontId="57" fillId="0" borderId="0" xfId="15" applyFont="1" applyBorder="1" applyAlignment="1" applyProtection="1"/>
    <xf numFmtId="171" fontId="27" fillId="0" borderId="0" xfId="15" applyNumberFormat="1" applyFont="1" applyBorder="1" applyAlignment="1" applyProtection="1"/>
    <xf numFmtId="10" fontId="57" fillId="0" borderId="0" xfId="15" applyNumberFormat="1" applyFont="1" applyFill="1" applyBorder="1" applyAlignment="1" applyProtection="1"/>
    <xf numFmtId="5" fontId="58" fillId="0" borderId="0" xfId="15" applyNumberFormat="1" applyFont="1" applyBorder="1" applyAlignment="1" applyProtection="1"/>
    <xf numFmtId="10" fontId="58" fillId="0" borderId="0" xfId="15" applyNumberFormat="1" applyFont="1" applyFill="1" applyBorder="1" applyAlignment="1" applyProtection="1"/>
    <xf numFmtId="177" fontId="27" fillId="0" borderId="0" xfId="19" applyNumberFormat="1" applyFont="1" applyBorder="1" applyAlignment="1"/>
    <xf numFmtId="10" fontId="58" fillId="0" borderId="0" xfId="15" applyNumberFormat="1" applyFont="1" applyBorder="1" applyAlignment="1" applyProtection="1"/>
    <xf numFmtId="10" fontId="27" fillId="0" borderId="0" xfId="15" applyFont="1" applyBorder="1"/>
    <xf numFmtId="10" fontId="27" fillId="0" borderId="0" xfId="15" applyNumberFormat="1" applyFont="1" applyBorder="1" applyAlignment="1" applyProtection="1"/>
    <xf numFmtId="10" fontId="58" fillId="0" borderId="0" xfId="15" applyFont="1" applyBorder="1" applyAlignment="1"/>
    <xf numFmtId="10" fontId="59" fillId="0" borderId="0" xfId="15" applyFont="1" applyAlignment="1" applyProtection="1">
      <alignment horizontal="left"/>
    </xf>
    <xf numFmtId="38" fontId="27" fillId="0" borderId="0" xfId="15" applyNumberFormat="1" applyFont="1"/>
    <xf numFmtId="10" fontId="61" fillId="0" borderId="0" xfId="15" applyFont="1"/>
    <xf numFmtId="1" fontId="47" fillId="0" borderId="0" xfId="15" applyNumberFormat="1" applyFont="1" applyProtection="1"/>
    <xf numFmtId="5" fontId="27" fillId="0" borderId="0" xfId="15" applyNumberFormat="1" applyFont="1"/>
    <xf numFmtId="5" fontId="47" fillId="0" borderId="0" xfId="15" applyNumberFormat="1" applyFont="1" applyProtection="1"/>
    <xf numFmtId="171" fontId="47" fillId="0" borderId="0" xfId="15" applyNumberFormat="1" applyFont="1" applyProtection="1"/>
    <xf numFmtId="10" fontId="47" fillId="0" borderId="0" xfId="15" applyNumberFormat="1" applyFont="1" applyProtection="1"/>
    <xf numFmtId="9" fontId="0" fillId="3" borderId="0" xfId="9" applyFont="1" applyFill="1" applyBorder="1"/>
    <xf numFmtId="9" fontId="0" fillId="9" borderId="0" xfId="9" applyFont="1" applyFill="1" applyBorder="1"/>
    <xf numFmtId="9" fontId="1" fillId="8" borderId="0" xfId="9" applyFont="1" applyFill="1" applyBorder="1"/>
    <xf numFmtId="37" fontId="0" fillId="9" borderId="6" xfId="1" applyNumberFormat="1" applyFont="1" applyFill="1" applyBorder="1"/>
    <xf numFmtId="12" fontId="0" fillId="0" borderId="0" xfId="0" applyNumberFormat="1" applyFont="1" applyFill="1" applyBorder="1"/>
    <xf numFmtId="178" fontId="0" fillId="0" borderId="0" xfId="0" applyNumberFormat="1"/>
    <xf numFmtId="164" fontId="6" fillId="3" borderId="1" xfId="1" applyNumberFormat="1" applyFont="1" applyFill="1" applyBorder="1" applyAlignment="1">
      <alignment vertical="center"/>
    </xf>
    <xf numFmtId="5" fontId="26" fillId="3" borderId="0" xfId="0" applyNumberFormat="1" applyFont="1" applyFill="1" applyBorder="1"/>
    <xf numFmtId="5" fontId="26" fillId="9" borderId="0" xfId="0" applyNumberFormat="1" applyFont="1" applyFill="1" applyBorder="1"/>
    <xf numFmtId="164" fontId="39" fillId="3" borderId="2" xfId="0" applyNumberFormat="1" applyFont="1" applyFill="1" applyBorder="1"/>
    <xf numFmtId="164" fontId="6" fillId="9" borderId="1" xfId="1" applyNumberFormat="1" applyFont="1" applyFill="1" applyBorder="1" applyAlignment="1">
      <alignment vertical="center"/>
    </xf>
    <xf numFmtId="164" fontId="26" fillId="3" borderId="1" xfId="1" applyNumberFormat="1" applyFont="1" applyFill="1" applyBorder="1" applyAlignment="1">
      <alignment vertical="center"/>
    </xf>
    <xf numFmtId="164" fontId="62" fillId="3" borderId="2" xfId="0" applyNumberFormat="1" applyFont="1" applyFill="1" applyBorder="1"/>
    <xf numFmtId="37" fontId="0" fillId="0" borderId="0" xfId="0" applyNumberFormat="1" applyAlignment="1">
      <alignment horizontal="right"/>
    </xf>
    <xf numFmtId="164" fontId="0" fillId="0" borderId="0" xfId="1" applyNumberFormat="1" applyFont="1"/>
    <xf numFmtId="164" fontId="0" fillId="0" borderId="1" xfId="0" applyNumberFormat="1" applyFont="1" applyBorder="1"/>
    <xf numFmtId="5" fontId="63" fillId="0" borderId="0" xfId="0" applyNumberFormat="1" applyFont="1"/>
    <xf numFmtId="0" fontId="63" fillId="0" borderId="0" xfId="0" applyFont="1" applyAlignment="1">
      <alignment horizontal="right"/>
    </xf>
    <xf numFmtId="0" fontId="64" fillId="0" borderId="0" xfId="0" applyFont="1"/>
    <xf numFmtId="0" fontId="13" fillId="0" borderId="0" xfId="0" applyFont="1"/>
    <xf numFmtId="0" fontId="36" fillId="0" borderId="0" xfId="0" applyFont="1" applyAlignment="1">
      <alignment horizontal="center"/>
    </xf>
    <xf numFmtId="5" fontId="0" fillId="0" borderId="0" xfId="0" applyNumberFormat="1"/>
    <xf numFmtId="5" fontId="0" fillId="0" borderId="0" xfId="0" applyNumberFormat="1" applyFill="1"/>
    <xf numFmtId="44" fontId="37" fillId="0" borderId="0" xfId="10" applyFont="1" applyAlignment="1">
      <alignment horizontal="center"/>
    </xf>
    <xf numFmtId="0" fontId="3" fillId="0" borderId="6" xfId="0" applyFont="1" applyBorder="1" applyAlignment="1">
      <alignment horizontal="centerContinuous"/>
    </xf>
    <xf numFmtId="0" fontId="2" fillId="0" borderId="0" xfId="0" applyFont="1" applyBorder="1" applyAlignment="1">
      <alignment horizontal="center"/>
    </xf>
    <xf numFmtId="44" fontId="2" fillId="0" borderId="0" xfId="10" applyFont="1" applyBorder="1" applyAlignment="1">
      <alignment horizontal="center"/>
    </xf>
    <xf numFmtId="179" fontId="2" fillId="0" borderId="0" xfId="0" applyNumberFormat="1" applyFont="1" applyBorder="1" applyAlignment="1">
      <alignment horizontal="center"/>
    </xf>
    <xf numFmtId="37" fontId="3" fillId="0" borderId="0" xfId="0" applyNumberFormat="1" applyFont="1"/>
    <xf numFmtId="0" fontId="3" fillId="0" borderId="0" xfId="0" applyFont="1" applyAlignment="1">
      <alignment horizontal="right"/>
    </xf>
    <xf numFmtId="7" fontId="0" fillId="0" borderId="0" xfId="0" applyNumberFormat="1"/>
    <xf numFmtId="44" fontId="0" fillId="0" borderId="0" xfId="0" applyNumberFormat="1"/>
    <xf numFmtId="37" fontId="0" fillId="0" borderId="1" xfId="0" applyNumberFormat="1" applyBorder="1"/>
    <xf numFmtId="0" fontId="0" fillId="0" borderId="1" xfId="0" applyBorder="1"/>
    <xf numFmtId="5" fontId="0" fillId="0" borderId="1" xfId="0" applyNumberFormat="1" applyBorder="1"/>
    <xf numFmtId="7" fontId="0" fillId="0" borderId="1" xfId="0" applyNumberFormat="1" applyBorder="1"/>
    <xf numFmtId="5" fontId="3" fillId="0" borderId="0" xfId="0" applyNumberFormat="1" applyFont="1"/>
    <xf numFmtId="37" fontId="0" fillId="0" borderId="0" xfId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0" xfId="0" applyNumberFormat="1" applyBorder="1" applyAlignment="1">
      <alignment horizontal="center"/>
    </xf>
    <xf numFmtId="0" fontId="22" fillId="0" borderId="6" xfId="0" applyFont="1" applyBorder="1" applyAlignment="1">
      <alignment horizontal="centerContinuous"/>
    </xf>
    <xf numFmtId="44" fontId="6" fillId="9" borderId="0" xfId="1" applyNumberFormat="1" applyFont="1" applyFill="1" applyBorder="1" applyAlignment="1">
      <alignment vertical="center"/>
    </xf>
    <xf numFmtId="164" fontId="0" fillId="0" borderId="0" xfId="0" applyNumberFormat="1"/>
    <xf numFmtId="5" fontId="0" fillId="0" borderId="0" xfId="0" applyNumberFormat="1" applyBorder="1"/>
    <xf numFmtId="0" fontId="0" fillId="0" borderId="0" xfId="0" applyFill="1" applyBorder="1"/>
    <xf numFmtId="0" fontId="0" fillId="12" borderId="1" xfId="0" applyFill="1" applyBorder="1"/>
    <xf numFmtId="37" fontId="0" fillId="12" borderId="1" xfId="0" applyNumberFormat="1" applyFill="1" applyBorder="1"/>
    <xf numFmtId="7" fontId="0" fillId="12" borderId="1" xfId="0" applyNumberFormat="1" applyFill="1" applyBorder="1"/>
    <xf numFmtId="5" fontId="0" fillId="12" borderId="1" xfId="0" applyNumberFormat="1" applyFill="1" applyBorder="1"/>
    <xf numFmtId="0" fontId="0" fillId="12" borderId="0" xfId="0" applyFill="1" applyBorder="1"/>
    <xf numFmtId="164" fontId="0" fillId="12" borderId="0" xfId="0" applyNumberFormat="1" applyFill="1"/>
    <xf numFmtId="0" fontId="0" fillId="12" borderId="0" xfId="0" applyFill="1"/>
    <xf numFmtId="0" fontId="0" fillId="12" borderId="2" xfId="0" applyFill="1" applyBorder="1"/>
    <xf numFmtId="164" fontId="0" fillId="12" borderId="2" xfId="0" applyNumberFormat="1" applyFill="1" applyBorder="1"/>
    <xf numFmtId="14" fontId="0" fillId="13" borderId="0" xfId="0" applyNumberFormat="1" applyFill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14" fontId="0" fillId="14" borderId="0" xfId="0" applyNumberFormat="1" applyFill="1"/>
    <xf numFmtId="0" fontId="12" fillId="0" borderId="0" xfId="0" applyFont="1" applyFill="1" applyAlignment="1">
      <alignment horizontal="center"/>
    </xf>
    <xf numFmtId="37" fontId="12" fillId="0" borderId="1" xfId="0" applyNumberFormat="1" applyFont="1" applyFill="1" applyBorder="1"/>
    <xf numFmtId="37" fontId="12" fillId="0" borderId="0" xfId="0" applyNumberFormat="1" applyFont="1" applyFill="1"/>
    <xf numFmtId="5" fontId="12" fillId="0" borderId="2" xfId="0" applyNumberFormat="1" applyFont="1" applyFill="1" applyBorder="1"/>
    <xf numFmtId="0" fontId="66" fillId="7" borderId="33" xfId="0" applyFont="1" applyFill="1" applyBorder="1" applyAlignment="1">
      <alignment horizontal="left" vertical="center"/>
    </xf>
    <xf numFmtId="0" fontId="67" fillId="7" borderId="34" xfId="0" applyFont="1" applyFill="1" applyBorder="1"/>
    <xf numFmtId="0" fontId="0" fillId="7" borderId="34" xfId="0" applyFill="1" applyBorder="1"/>
    <xf numFmtId="0" fontId="0" fillId="7" borderId="35" xfId="0" applyFill="1" applyBorder="1"/>
    <xf numFmtId="17" fontId="2" fillId="10" borderId="0" xfId="0" applyNumberFormat="1" applyFont="1" applyFill="1" applyAlignment="1">
      <alignment horizontal="center"/>
    </xf>
    <xf numFmtId="17" fontId="2" fillId="0" borderId="0" xfId="0" applyNumberFormat="1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37" fontId="0" fillId="0" borderId="0" xfId="1" applyNumberFormat="1" applyFont="1" applyFill="1" applyBorder="1"/>
    <xf numFmtId="166" fontId="16" fillId="0" borderId="0" xfId="1" applyNumberFormat="1" applyFont="1" applyFill="1" applyBorder="1"/>
    <xf numFmtId="37" fontId="3" fillId="0" borderId="0" xfId="1" applyNumberFormat="1" applyFont="1" applyFill="1"/>
    <xf numFmtId="37" fontId="3" fillId="0" borderId="0" xfId="1" applyNumberFormat="1" applyFont="1" applyFill="1" applyBorder="1"/>
    <xf numFmtId="37" fontId="3" fillId="0" borderId="0" xfId="0" applyNumberFormat="1" applyFont="1" applyFill="1"/>
    <xf numFmtId="38" fontId="21" fillId="0" borderId="0" xfId="1" applyNumberFormat="1" applyFont="1" applyBorder="1" applyAlignment="1">
      <alignment horizontal="center"/>
    </xf>
    <xf numFmtId="0" fontId="37" fillId="0" borderId="0" xfId="10" applyNumberFormat="1" applyFont="1" applyAlignment="1">
      <alignment horizontal="center"/>
    </xf>
    <xf numFmtId="9" fontId="0" fillId="0" borderId="0" xfId="9" applyFont="1" applyFill="1" applyBorder="1"/>
    <xf numFmtId="9" fontId="1" fillId="0" borderId="0" xfId="9" applyFont="1" applyFill="1" applyBorder="1"/>
    <xf numFmtId="38" fontId="21" fillId="0" borderId="38" xfId="1" applyNumberFormat="1" applyFont="1" applyBorder="1" applyAlignment="1">
      <alignment horizontal="center"/>
    </xf>
    <xf numFmtId="37" fontId="37" fillId="0" borderId="0" xfId="0" applyNumberFormat="1" applyFont="1" applyAlignment="1">
      <alignment horizontal="center"/>
    </xf>
    <xf numFmtId="37" fontId="37" fillId="0" borderId="0" xfId="0" applyNumberFormat="1" applyFont="1" applyAlignment="1">
      <alignment horizontal="left"/>
    </xf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21" fillId="0" borderId="0" xfId="0" applyNumberFormat="1" applyFont="1" applyFill="1" applyBorder="1"/>
    <xf numFmtId="37" fontId="21" fillId="0" borderId="0" xfId="1" applyNumberFormat="1" applyFont="1" applyFill="1" applyBorder="1"/>
    <xf numFmtId="5" fontId="0" fillId="0" borderId="0" xfId="0" applyNumberForma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0" applyNumberFormat="1" applyFont="1" applyFill="1" applyBorder="1"/>
    <xf numFmtId="37" fontId="3" fillId="0" borderId="0" xfId="0" applyNumberFormat="1" applyFont="1" applyAlignment="1">
      <alignment horizontal="right"/>
    </xf>
    <xf numFmtId="164" fontId="0" fillId="0" borderId="0" xfId="1" applyNumberFormat="1" applyFont="1" applyBorder="1"/>
    <xf numFmtId="164" fontId="0" fillId="0" borderId="0" xfId="0" applyNumberFormat="1" applyFont="1" applyBorder="1"/>
    <xf numFmtId="0" fontId="0" fillId="0" borderId="0" xfId="0" applyBorder="1"/>
    <xf numFmtId="0" fontId="37" fillId="0" borderId="0" xfId="0" applyFont="1" applyBorder="1" applyAlignment="1"/>
    <xf numFmtId="0" fontId="36" fillId="0" borderId="0" xfId="0" applyFont="1" applyBorder="1" applyAlignment="1">
      <alignment horizontal="center"/>
    </xf>
    <xf numFmtId="0" fontId="3" fillId="0" borderId="0" xfId="0" applyFont="1" applyAlignment="1"/>
    <xf numFmtId="0" fontId="69" fillId="0" borderId="0" xfId="0" applyFont="1"/>
    <xf numFmtId="0" fontId="0" fillId="4" borderId="0" xfId="0" applyFill="1"/>
    <xf numFmtId="0" fontId="70" fillId="7" borderId="0" xfId="14" applyFont="1" applyFill="1" applyBorder="1" applyAlignment="1"/>
    <xf numFmtId="0" fontId="70" fillId="7" borderId="29" xfId="14" applyFont="1" applyFill="1" applyBorder="1" applyAlignment="1"/>
    <xf numFmtId="37" fontId="0" fillId="15" borderId="18" xfId="1" applyNumberFormat="1" applyFont="1" applyFill="1" applyBorder="1"/>
    <xf numFmtId="37" fontId="0" fillId="15" borderId="36" xfId="1" applyNumberFormat="1" applyFont="1" applyFill="1" applyBorder="1"/>
    <xf numFmtId="37" fontId="2" fillId="15" borderId="19" xfId="1" applyNumberFormat="1" applyFont="1" applyFill="1" applyBorder="1"/>
    <xf numFmtId="37" fontId="0" fillId="15" borderId="37" xfId="1" applyNumberFormat="1" applyFont="1" applyFill="1" applyBorder="1"/>
    <xf numFmtId="37" fontId="0" fillId="15" borderId="0" xfId="1" applyNumberFormat="1" applyFont="1" applyFill="1" applyBorder="1"/>
    <xf numFmtId="37" fontId="2" fillId="15" borderId="38" xfId="1" applyNumberFormat="1" applyFont="1" applyFill="1" applyBorder="1"/>
    <xf numFmtId="37" fontId="0" fillId="15" borderId="39" xfId="1" applyNumberFormat="1" applyFont="1" applyFill="1" applyBorder="1"/>
    <xf numFmtId="37" fontId="0" fillId="15" borderId="1" xfId="1" applyNumberFormat="1" applyFont="1" applyFill="1" applyBorder="1"/>
    <xf numFmtId="37" fontId="0" fillId="15" borderId="40" xfId="1" applyNumberFormat="1" applyFont="1" applyFill="1" applyBorder="1"/>
    <xf numFmtId="37" fontId="0" fillId="15" borderId="41" xfId="1" applyNumberFormat="1" applyFont="1" applyFill="1" applyBorder="1"/>
    <xf numFmtId="37" fontId="0" fillId="15" borderId="42" xfId="1" applyNumberFormat="1" applyFont="1" applyFill="1" applyBorder="1"/>
    <xf numFmtId="37" fontId="2" fillId="15" borderId="40" xfId="1" applyNumberFormat="1" applyFont="1" applyFill="1" applyBorder="1"/>
    <xf numFmtId="37" fontId="0" fillId="15" borderId="21" xfId="1" applyNumberFormat="1" applyFont="1" applyFill="1" applyBorder="1"/>
    <xf numFmtId="37" fontId="0" fillId="15" borderId="43" xfId="0" applyNumberFormat="1" applyFill="1" applyBorder="1"/>
    <xf numFmtId="37" fontId="0" fillId="15" borderId="18" xfId="0" applyNumberFormat="1" applyFill="1" applyBorder="1"/>
    <xf numFmtId="37" fontId="0" fillId="15" borderId="36" xfId="0" applyNumberFormat="1" applyFill="1" applyBorder="1"/>
    <xf numFmtId="37" fontId="0" fillId="15" borderId="22" xfId="1" applyNumberFormat="1" applyFont="1" applyFill="1" applyBorder="1"/>
    <xf numFmtId="37" fontId="0" fillId="15" borderId="44" xfId="1" applyNumberFormat="1" applyFont="1" applyFill="1" applyBorder="1"/>
    <xf numFmtId="37" fontId="1" fillId="15" borderId="23" xfId="1" applyNumberFormat="1" applyFont="1" applyFill="1" applyBorder="1"/>
    <xf numFmtId="37" fontId="0" fillId="15" borderId="45" xfId="1" applyNumberFormat="1" applyFont="1" applyFill="1" applyBorder="1"/>
    <xf numFmtId="37" fontId="1" fillId="15" borderId="19" xfId="1" applyNumberFormat="1" applyFont="1" applyFill="1" applyBorder="1"/>
    <xf numFmtId="37" fontId="2" fillId="15" borderId="43" xfId="1" applyNumberFormat="1" applyFont="1" applyFill="1" applyBorder="1"/>
    <xf numFmtId="37" fontId="0" fillId="15" borderId="37" xfId="0" applyNumberFormat="1" applyFill="1" applyBorder="1"/>
    <xf numFmtId="37" fontId="0" fillId="15" borderId="0" xfId="0" applyNumberFormat="1" applyFill="1" applyBorder="1"/>
    <xf numFmtId="37" fontId="1" fillId="15" borderId="38" xfId="1" applyNumberFormat="1" applyFont="1" applyFill="1" applyBorder="1"/>
    <xf numFmtId="37" fontId="0" fillId="15" borderId="6" xfId="1" applyNumberFormat="1" applyFont="1" applyFill="1" applyBorder="1"/>
    <xf numFmtId="37" fontId="0" fillId="15" borderId="41" xfId="0" applyNumberFormat="1" applyFill="1" applyBorder="1"/>
    <xf numFmtId="37" fontId="0" fillId="15" borderId="42" xfId="0" applyNumberFormat="1" applyFill="1" applyBorder="1"/>
    <xf numFmtId="37" fontId="0" fillId="15" borderId="44" xfId="0" applyNumberFormat="1" applyFill="1" applyBorder="1"/>
    <xf numFmtId="37" fontId="1" fillId="15" borderId="43" xfId="1" applyNumberFormat="1" applyFont="1" applyFill="1" applyBorder="1"/>
    <xf numFmtId="7" fontId="6" fillId="15" borderId="18" xfId="1" applyNumberFormat="1" applyFont="1" applyFill="1" applyBorder="1"/>
    <xf numFmtId="7" fontId="6" fillId="15" borderId="36" xfId="1" applyNumberFormat="1" applyFont="1" applyFill="1" applyBorder="1"/>
    <xf numFmtId="44" fontId="6" fillId="15" borderId="36" xfId="1" applyNumberFormat="1" applyFont="1" applyFill="1" applyBorder="1"/>
    <xf numFmtId="5" fontId="0" fillId="15" borderId="19" xfId="0" applyNumberFormat="1" applyFont="1" applyFill="1" applyBorder="1"/>
    <xf numFmtId="7" fontId="6" fillId="15" borderId="37" xfId="1" applyNumberFormat="1" applyFont="1" applyFill="1" applyBorder="1"/>
    <xf numFmtId="7" fontId="6" fillId="15" borderId="0" xfId="1" applyNumberFormat="1" applyFont="1" applyFill="1" applyBorder="1"/>
    <xf numFmtId="44" fontId="6" fillId="15" borderId="0" xfId="1" applyNumberFormat="1" applyFont="1" applyFill="1" applyBorder="1"/>
    <xf numFmtId="5" fontId="0" fillId="15" borderId="38" xfId="0" applyNumberFormat="1" applyFont="1" applyFill="1" applyBorder="1"/>
    <xf numFmtId="7" fontId="6" fillId="15" borderId="37" xfId="1" applyNumberFormat="1" applyFont="1" applyFill="1" applyBorder="1" applyAlignment="1">
      <alignment vertical="center"/>
    </xf>
    <xf numFmtId="7" fontId="6" fillId="15" borderId="0" xfId="1" applyNumberFormat="1" applyFont="1" applyFill="1" applyBorder="1" applyAlignment="1">
      <alignment vertical="center"/>
    </xf>
    <xf numFmtId="44" fontId="6" fillId="15" borderId="0" xfId="1" applyNumberFormat="1" applyFont="1" applyFill="1" applyBorder="1" applyAlignment="1">
      <alignment vertical="center"/>
    </xf>
    <xf numFmtId="5" fontId="0" fillId="15" borderId="38" xfId="0" applyNumberFormat="1" applyFont="1" applyFill="1" applyBorder="1" applyAlignment="1">
      <alignment vertical="center"/>
    </xf>
    <xf numFmtId="5" fontId="0" fillId="15" borderId="37" xfId="0" applyNumberFormat="1" applyFont="1" applyFill="1" applyBorder="1"/>
    <xf numFmtId="5" fontId="0" fillId="15" borderId="0" xfId="0" applyNumberFormat="1" applyFont="1" applyFill="1" applyBorder="1"/>
    <xf numFmtId="5" fontId="0" fillId="15" borderId="37" xfId="0" applyNumberFormat="1" applyFill="1" applyBorder="1"/>
    <xf numFmtId="5" fontId="0" fillId="15" borderId="0" xfId="0" applyNumberFormat="1" applyFill="1" applyBorder="1"/>
    <xf numFmtId="5" fontId="0" fillId="15" borderId="41" xfId="0" applyNumberFormat="1" applyFill="1" applyBorder="1"/>
    <xf numFmtId="5" fontId="0" fillId="15" borderId="42" xfId="0" applyNumberFormat="1" applyFill="1" applyBorder="1"/>
    <xf numFmtId="5" fontId="0" fillId="15" borderId="43" xfId="0" applyNumberFormat="1" applyFont="1" applyFill="1" applyBorder="1"/>
    <xf numFmtId="5" fontId="35" fillId="15" borderId="38" xfId="0" applyNumberFormat="1" applyFont="1" applyFill="1" applyBorder="1"/>
    <xf numFmtId="164" fontId="6" fillId="15" borderId="39" xfId="1" applyNumberFormat="1" applyFont="1" applyFill="1" applyBorder="1" applyAlignment="1">
      <alignment vertical="center"/>
    </xf>
    <xf numFmtId="164" fontId="6" fillId="15" borderId="1" xfId="1" applyNumberFormat="1" applyFont="1" applyFill="1" applyBorder="1" applyAlignment="1">
      <alignment vertical="center"/>
    </xf>
    <xf numFmtId="164" fontId="26" fillId="15" borderId="1" xfId="1" applyNumberFormat="1" applyFont="1" applyFill="1" applyBorder="1" applyAlignment="1">
      <alignment vertical="center"/>
    </xf>
    <xf numFmtId="164" fontId="1" fillId="15" borderId="1" xfId="1" applyNumberFormat="1" applyFont="1" applyFill="1" applyBorder="1" applyAlignment="1">
      <alignment vertical="center"/>
    </xf>
    <xf numFmtId="164" fontId="1" fillId="15" borderId="40" xfId="1" applyNumberFormat="1" applyFont="1" applyFill="1" applyBorder="1" applyAlignment="1">
      <alignment vertical="center"/>
    </xf>
    <xf numFmtId="5" fontId="26" fillId="15" borderId="37" xfId="0" applyNumberFormat="1" applyFont="1" applyFill="1" applyBorder="1"/>
    <xf numFmtId="5" fontId="26" fillId="15" borderId="0" xfId="0" applyNumberFormat="1" applyFont="1" applyFill="1" applyBorder="1"/>
    <xf numFmtId="5" fontId="26" fillId="15" borderId="38" xfId="0" applyNumberFormat="1" applyFont="1" applyFill="1" applyBorder="1"/>
    <xf numFmtId="164" fontId="39" fillId="15" borderId="42" xfId="0" applyNumberFormat="1" applyFont="1" applyFill="1" applyBorder="1"/>
    <xf numFmtId="164" fontId="62" fillId="15" borderId="42" xfId="0" applyNumberFormat="1" applyFont="1" applyFill="1" applyBorder="1"/>
    <xf numFmtId="5" fontId="39" fillId="15" borderId="42" xfId="0" applyNumberFormat="1" applyFont="1" applyFill="1" applyBorder="1"/>
    <xf numFmtId="37" fontId="40" fillId="15" borderId="42" xfId="1" applyNumberFormat="1" applyFont="1" applyFill="1" applyBorder="1"/>
    <xf numFmtId="164" fontId="0" fillId="15" borderId="18" xfId="1" applyNumberFormat="1" applyFont="1" applyFill="1" applyBorder="1"/>
    <xf numFmtId="164" fontId="0" fillId="15" borderId="36" xfId="1" applyNumberFormat="1" applyFont="1" applyFill="1" applyBorder="1"/>
    <xf numFmtId="164" fontId="0" fillId="15" borderId="19" xfId="1" applyNumberFormat="1" applyFont="1" applyFill="1" applyBorder="1"/>
    <xf numFmtId="164" fontId="0" fillId="15" borderId="37" xfId="1" applyNumberFormat="1" applyFont="1" applyFill="1" applyBorder="1"/>
    <xf numFmtId="164" fontId="0" fillId="15" borderId="0" xfId="1" applyNumberFormat="1" applyFont="1" applyFill="1" applyBorder="1"/>
    <xf numFmtId="164" fontId="0" fillId="15" borderId="38" xfId="1" applyNumberFormat="1" applyFont="1" applyFill="1" applyBorder="1"/>
    <xf numFmtId="164" fontId="0" fillId="15" borderId="41" xfId="0" applyNumberFormat="1" applyFont="1" applyFill="1" applyBorder="1"/>
    <xf numFmtId="164" fontId="0" fillId="15" borderId="42" xfId="0" applyNumberFormat="1" applyFont="1" applyFill="1" applyBorder="1"/>
    <xf numFmtId="164" fontId="0" fillId="15" borderId="43" xfId="0" applyNumberFormat="1" applyFont="1" applyFill="1" applyBorder="1"/>
    <xf numFmtId="14" fontId="0" fillId="15" borderId="37" xfId="0" applyNumberFormat="1" applyFill="1" applyBorder="1"/>
    <xf numFmtId="44" fontId="0" fillId="15" borderId="38" xfId="10" applyFont="1" applyFill="1" applyBorder="1"/>
    <xf numFmtId="14" fontId="0" fillId="15" borderId="22" xfId="0" applyNumberFormat="1" applyFill="1" applyBorder="1"/>
    <xf numFmtId="44" fontId="0" fillId="15" borderId="23" xfId="10" applyFont="1" applyFill="1" applyBorder="1"/>
    <xf numFmtId="44" fontId="0" fillId="15" borderId="20" xfId="10" applyFont="1" applyFill="1" applyBorder="1"/>
    <xf numFmtId="44" fontId="0" fillId="15" borderId="21" xfId="10" applyFont="1" applyFill="1" applyBorder="1"/>
    <xf numFmtId="44" fontId="0" fillId="15" borderId="24" xfId="10" applyFont="1" applyFill="1" applyBorder="1"/>
    <xf numFmtId="164" fontId="4" fillId="15" borderId="17" xfId="1" applyNumberFormat="1" applyFont="1" applyFill="1" applyBorder="1"/>
    <xf numFmtId="164" fontId="0" fillId="15" borderId="18" xfId="4" applyNumberFormat="1" applyFont="1" applyFill="1" applyBorder="1"/>
    <xf numFmtId="164" fontId="4" fillId="15" borderId="19" xfId="2" applyNumberFormat="1" applyFill="1" applyBorder="1"/>
    <xf numFmtId="164" fontId="0" fillId="15" borderId="22" xfId="4" applyNumberFormat="1" applyFont="1" applyFill="1" applyBorder="1"/>
    <xf numFmtId="164" fontId="4" fillId="15" borderId="23" xfId="2" applyNumberFormat="1" applyFill="1" applyBorder="1"/>
    <xf numFmtId="164" fontId="0" fillId="15" borderId="17" xfId="1" applyNumberFormat="1" applyFont="1" applyFill="1" applyBorder="1"/>
    <xf numFmtId="44" fontId="0" fillId="16" borderId="17" xfId="10" applyFont="1" applyFill="1" applyBorder="1"/>
    <xf numFmtId="164" fontId="0" fillId="16" borderId="18" xfId="4" applyNumberFormat="1" applyFont="1" applyFill="1" applyBorder="1"/>
    <xf numFmtId="164" fontId="4" fillId="16" borderId="19" xfId="2" applyNumberFormat="1" applyFill="1" applyBorder="1"/>
    <xf numFmtId="164" fontId="0" fillId="16" borderId="22" xfId="4" applyNumberFormat="1" applyFont="1" applyFill="1" applyBorder="1"/>
    <xf numFmtId="164" fontId="4" fillId="16" borderId="23" xfId="2" applyNumberFormat="1" applyFill="1" applyBorder="1"/>
    <xf numFmtId="0" fontId="70" fillId="7" borderId="0" xfId="14" applyFont="1" applyFill="1" applyBorder="1" applyAlignment="1">
      <alignment horizontal="center"/>
    </xf>
    <xf numFmtId="0" fontId="71" fillId="0" borderId="36" xfId="0" applyFont="1" applyBorder="1" applyAlignment="1">
      <alignment horizontal="center"/>
    </xf>
    <xf numFmtId="0" fontId="4" fillId="0" borderId="0" xfId="2" applyAlignment="1">
      <alignment horizontal="center"/>
    </xf>
    <xf numFmtId="0" fontId="66" fillId="7" borderId="33" xfId="0" applyFont="1" applyFill="1" applyBorder="1" applyAlignment="1">
      <alignment horizontal="center" vertical="center"/>
    </xf>
    <xf numFmtId="0" fontId="66" fillId="7" borderId="34" xfId="0" applyFont="1" applyFill="1" applyBorder="1" applyAlignment="1">
      <alignment horizontal="center" vertical="center"/>
    </xf>
    <xf numFmtId="0" fontId="66" fillId="7" borderId="35" xfId="0" applyFont="1" applyFill="1" applyBorder="1" applyAlignment="1">
      <alignment horizontal="center" vertical="center"/>
    </xf>
  </cellXfs>
  <cellStyles count="22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Currency 3" xfId="21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0000"/>
      <color rgb="FFCCFF33"/>
      <color rgb="FFFFCCCC"/>
      <color rgb="FF0000FF"/>
      <color rgb="FF00FFFF"/>
      <color rgb="FFCCECFF"/>
      <color rgb="FFCCFFFF"/>
      <color rgb="FFFF0066"/>
      <color rgb="FFFFCC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4496</xdr:colOff>
      <xdr:row>71</xdr:row>
      <xdr:rowOff>19051</xdr:rowOff>
    </xdr:from>
    <xdr:to>
      <xdr:col>9</xdr:col>
      <xdr:colOff>581025</xdr:colOff>
      <xdr:row>101</xdr:row>
      <xdr:rowOff>157401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9521" y="131826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28576</xdr:colOff>
      <xdr:row>71</xdr:row>
      <xdr:rowOff>57150</xdr:rowOff>
    </xdr:from>
    <xdr:to>
      <xdr:col>17</xdr:col>
      <xdr:colOff>229056</xdr:colOff>
      <xdr:row>101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1" y="13220700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285043</xdr:colOff>
      <xdr:row>71</xdr:row>
      <xdr:rowOff>46702</xdr:rowOff>
    </xdr:from>
    <xdr:to>
      <xdr:col>25</xdr:col>
      <xdr:colOff>171413</xdr:colOff>
      <xdr:row>102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57868" y="132102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  <sheetName val="TEMP ORIG"/>
      <sheetName val="TEMP DIFF"/>
    </sheetNames>
    <sheetDataSet>
      <sheetData sheetId="0"/>
      <sheetData sheetId="1"/>
      <sheetData sheetId="2">
        <row r="15">
          <cell r="J15">
            <v>7.2300000000000003E-2</v>
          </cell>
        </row>
      </sheetData>
      <sheetData sheetId="3"/>
      <sheetData sheetId="4"/>
      <sheetData sheetId="5">
        <row r="30">
          <cell r="K30">
            <v>12043570.406415544</v>
          </cell>
        </row>
      </sheetData>
      <sheetData sheetId="6">
        <row r="9">
          <cell r="BY9">
            <v>11.01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>
        <row r="15">
          <cell r="D15">
            <v>93053500.841340855</v>
          </cell>
        </row>
      </sheetData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>
        <row r="6">
          <cell r="E6">
            <v>-118510.48999999999</v>
          </cell>
        </row>
      </sheetData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10.bin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app.leg.wa.gov/WAC/default.aspx?cite=173-441-030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/>
  </sheetViews>
  <sheetFormatPr defaultColWidth="9.140625" defaultRowHeight="12"/>
  <cols>
    <col min="1" max="16384" width="9.140625" style="145"/>
  </cols>
  <sheetData>
    <row r="1" spans="1:17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4"/>
    </row>
    <row r="2" spans="1:17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8"/>
    </row>
    <row r="3" spans="1:17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8"/>
    </row>
    <row r="4" spans="1:17">
      <c r="A4" s="146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8"/>
    </row>
    <row r="5" spans="1:17">
      <c r="A5" s="146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8"/>
    </row>
    <row r="6" spans="1:17">
      <c r="A6" s="146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8"/>
    </row>
    <row r="7" spans="1:17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8"/>
    </row>
    <row r="8" spans="1:17">
      <c r="A8" s="14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8"/>
    </row>
    <row r="9" spans="1:17">
      <c r="A9" s="146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8"/>
    </row>
    <row r="10" spans="1:17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8"/>
    </row>
    <row r="11" spans="1:17">
      <c r="A11" s="146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8"/>
    </row>
    <row r="12" spans="1:17">
      <c r="A12" s="146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8"/>
    </row>
    <row r="13" spans="1:17" ht="23.25">
      <c r="A13" s="146"/>
      <c r="B13" s="147"/>
      <c r="C13" s="149" t="s">
        <v>96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8"/>
    </row>
    <row r="14" spans="1:17">
      <c r="A14" s="146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8"/>
    </row>
    <row r="15" spans="1:17">
      <c r="A15" s="146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8"/>
    </row>
    <row r="16" spans="1:17" ht="23.25">
      <c r="A16" s="146"/>
      <c r="B16" s="147"/>
      <c r="C16" s="495" t="s">
        <v>255</v>
      </c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04"/>
      <c r="O16" s="404"/>
      <c r="P16" s="404"/>
      <c r="Q16" s="405"/>
    </row>
    <row r="17" spans="1:17">
      <c r="A17" s="146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8"/>
    </row>
    <row r="18" spans="1:17">
      <c r="A18" s="146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8"/>
    </row>
    <row r="19" spans="1:17">
      <c r="A19" s="146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8"/>
    </row>
    <row r="20" spans="1:17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8"/>
    </row>
    <row r="21" spans="1:17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8"/>
    </row>
    <row r="22" spans="1:17">
      <c r="A22" s="146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8"/>
    </row>
    <row r="23" spans="1:17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8"/>
    </row>
    <row r="24" spans="1:17">
      <c r="A24" s="146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8"/>
    </row>
    <row r="25" spans="1:17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8"/>
    </row>
    <row r="26" spans="1:17">
      <c r="A26" s="146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8"/>
    </row>
    <row r="27" spans="1:17" ht="12.75" thickBot="1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2"/>
    </row>
  </sheetData>
  <mergeCells count="1">
    <mergeCell ref="C16:M1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topLeftCell="D34" workbookViewId="0">
      <selection activeCell="F39" sqref="F39"/>
    </sheetView>
  </sheetViews>
  <sheetFormatPr defaultRowHeight="15"/>
  <sheetData>
    <row r="1" spans="1:1">
      <c r="A1" s="129" t="s">
        <v>86</v>
      </c>
    </row>
    <row r="29" spans="17:17">
      <c r="Q29" s="130">
        <v>53.06</v>
      </c>
    </row>
    <row r="46" spans="1:1">
      <c r="A46" s="129" t="s">
        <v>85</v>
      </c>
    </row>
    <row r="63" spans="12:16" ht="18">
      <c r="L63" t="s">
        <v>84</v>
      </c>
      <c r="P63" t="s">
        <v>70</v>
      </c>
    </row>
    <row r="64" spans="12:16">
      <c r="L64" s="130">
        <f>1*(10^(-3))</f>
        <v>1E-3</v>
      </c>
      <c r="P64" s="130">
        <f>1*(10^(-4))</f>
        <v>1E-4</v>
      </c>
    </row>
    <row r="68" spans="1:13">
      <c r="A68" s="129" t="s">
        <v>83</v>
      </c>
    </row>
    <row r="74" spans="1:13">
      <c r="M74" s="130">
        <v>1</v>
      </c>
    </row>
    <row r="75" spans="1:13">
      <c r="M75" s="130">
        <v>25</v>
      </c>
    </row>
    <row r="76" spans="1:13">
      <c r="M76" s="130">
        <v>298</v>
      </c>
    </row>
    <row r="80" spans="1:13">
      <c r="A80" s="129" t="s">
        <v>82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8"/>
    <col min="2" max="2" width="51.42578125" style="89" customWidth="1"/>
    <col min="3" max="6" width="16.5703125" style="88" customWidth="1"/>
    <col min="7" max="7" width="64" style="88" customWidth="1"/>
    <col min="8" max="16384" width="9.140625" style="88"/>
  </cols>
  <sheetData>
    <row r="1" spans="2:8">
      <c r="B1" s="128"/>
      <c r="C1" s="127"/>
      <c r="D1" s="127"/>
      <c r="E1" s="127"/>
      <c r="F1" s="127"/>
      <c r="G1" s="127"/>
      <c r="H1" s="127"/>
    </row>
    <row r="2" spans="2:8">
      <c r="B2" s="126"/>
      <c r="C2" s="104" t="s">
        <v>72</v>
      </c>
      <c r="D2" s="104" t="s">
        <v>71</v>
      </c>
      <c r="E2" s="104" t="s">
        <v>70</v>
      </c>
      <c r="F2" s="103" t="s">
        <v>69</v>
      </c>
      <c r="G2" s="102" t="s">
        <v>68</v>
      </c>
      <c r="H2" s="91"/>
    </row>
    <row r="3" spans="2:8">
      <c r="B3" s="125" t="s">
        <v>81</v>
      </c>
      <c r="C3" s="121">
        <v>100</v>
      </c>
      <c r="D3" s="124">
        <v>100</v>
      </c>
      <c r="E3" s="124">
        <v>100</v>
      </c>
      <c r="F3" s="123" t="s">
        <v>79</v>
      </c>
      <c r="G3" s="122" t="s">
        <v>78</v>
      </c>
      <c r="H3" s="121"/>
    </row>
    <row r="4" spans="2:8">
      <c r="B4" s="120" t="s">
        <v>80</v>
      </c>
      <c r="C4" s="116">
        <v>1</v>
      </c>
      <c r="D4" s="119">
        <v>25</v>
      </c>
      <c r="E4" s="119">
        <v>298</v>
      </c>
      <c r="F4" s="118" t="s">
        <v>79</v>
      </c>
      <c r="G4" s="117" t="s">
        <v>78</v>
      </c>
      <c r="H4" s="116"/>
    </row>
    <row r="5" spans="2:8">
      <c r="B5" s="113" t="s">
        <v>77</v>
      </c>
      <c r="C5" s="112">
        <f>'Emissions Inputs'!Q29</f>
        <v>53.06</v>
      </c>
      <c r="D5" s="115">
        <f>'Emissions Inputs'!L64</f>
        <v>1E-3</v>
      </c>
      <c r="E5" s="114">
        <f>'Emissions Inputs'!P64</f>
        <v>1E-4</v>
      </c>
      <c r="F5" s="114">
        <f>(C5*C4)+(D5*D4)+(E5*E4)</f>
        <v>53.114800000000002</v>
      </c>
      <c r="G5" s="110" t="s">
        <v>76</v>
      </c>
      <c r="H5" s="106"/>
    </row>
    <row r="6" spans="2:8">
      <c r="B6" s="113" t="s">
        <v>75</v>
      </c>
      <c r="C6" s="112">
        <f>C5/1000</f>
        <v>5.3060000000000003E-2</v>
      </c>
      <c r="D6" s="111">
        <f>D5/1000</f>
        <v>9.9999999999999995E-7</v>
      </c>
      <c r="E6" s="111">
        <f>E5/1000</f>
        <v>1.0000000000000001E-7</v>
      </c>
      <c r="F6" s="111">
        <f>F5/1000</f>
        <v>5.3114800000000004E-2</v>
      </c>
      <c r="G6" s="110" t="s">
        <v>74</v>
      </c>
      <c r="H6" s="106"/>
    </row>
    <row r="7" spans="2:8">
      <c r="B7" s="109"/>
      <c r="C7" s="108"/>
      <c r="D7" s="108"/>
      <c r="E7" s="108"/>
      <c r="F7" s="108"/>
      <c r="G7" s="107"/>
      <c r="H7" s="106"/>
    </row>
    <row r="8" spans="2:8">
      <c r="B8" s="105" t="s">
        <v>73</v>
      </c>
      <c r="C8" s="104" t="s">
        <v>72</v>
      </c>
      <c r="D8" s="104" t="s">
        <v>71</v>
      </c>
      <c r="E8" s="104" t="s">
        <v>70</v>
      </c>
      <c r="F8" s="103" t="s">
        <v>69</v>
      </c>
      <c r="G8" s="102" t="s">
        <v>68</v>
      </c>
      <c r="H8" s="91"/>
    </row>
    <row r="9" spans="2:8">
      <c r="B9" s="101" t="s">
        <v>67</v>
      </c>
      <c r="C9" s="100">
        <f t="shared" ref="C9:F10" si="0">C5/10</f>
        <v>5.306</v>
      </c>
      <c r="D9" s="99">
        <f t="shared" si="0"/>
        <v>1E-4</v>
      </c>
      <c r="E9" s="98">
        <f t="shared" si="0"/>
        <v>1.0000000000000001E-5</v>
      </c>
      <c r="F9" s="98">
        <f t="shared" si="0"/>
        <v>5.3114800000000004</v>
      </c>
      <c r="G9" s="97" t="s">
        <v>65</v>
      </c>
      <c r="H9" s="96"/>
    </row>
    <row r="10" spans="2:8">
      <c r="B10" s="95" t="s">
        <v>66</v>
      </c>
      <c r="C10" s="94">
        <f t="shared" si="0"/>
        <v>5.306E-3</v>
      </c>
      <c r="D10" s="93">
        <f t="shared" si="0"/>
        <v>9.9999999999999995E-8</v>
      </c>
      <c r="E10" s="93">
        <f t="shared" si="0"/>
        <v>1E-8</v>
      </c>
      <c r="F10" s="93">
        <f t="shared" si="0"/>
        <v>5.3114800000000004E-3</v>
      </c>
      <c r="G10" s="92" t="s">
        <v>65</v>
      </c>
      <c r="H10" s="91"/>
    </row>
    <row r="11" spans="2:8">
      <c r="C11" s="90"/>
      <c r="D11" s="90"/>
      <c r="E11" s="90"/>
      <c r="F11" s="90"/>
    </row>
    <row r="12" spans="2:8">
      <c r="C12" s="90"/>
      <c r="D12" s="90"/>
      <c r="E12" s="90"/>
      <c r="F12" s="90"/>
    </row>
    <row r="13" spans="2:8">
      <c r="C13" s="90"/>
      <c r="D13" s="90"/>
      <c r="E13" s="90"/>
      <c r="F13" s="90"/>
    </row>
    <row r="14" spans="2:8">
      <c r="C14" s="90"/>
      <c r="D14" s="90"/>
      <c r="E14" s="90"/>
      <c r="F14" s="90"/>
    </row>
    <row r="15" spans="2:8">
      <c r="C15" s="90"/>
      <c r="D15" s="90"/>
      <c r="E15" s="90"/>
      <c r="F15" s="90"/>
    </row>
    <row r="16" spans="2:8">
      <c r="C16" s="90"/>
      <c r="D16" s="90"/>
      <c r="E16" s="90"/>
      <c r="F16" s="90"/>
    </row>
    <row r="17" spans="3:6">
      <c r="C17" s="90"/>
      <c r="D17" s="90"/>
      <c r="E17" s="90"/>
      <c r="F17" s="90"/>
    </row>
    <row r="18" spans="3:6">
      <c r="C18" s="90"/>
      <c r="D18" s="90"/>
      <c r="E18" s="90"/>
      <c r="F18" s="90"/>
    </row>
    <row r="19" spans="3:6">
      <c r="C19" s="90"/>
      <c r="D19" s="90"/>
      <c r="E19" s="90"/>
      <c r="F19" s="90"/>
    </row>
    <row r="20" spans="3:6">
      <c r="C20" s="90"/>
      <c r="D20" s="90"/>
      <c r="E20" s="90"/>
      <c r="F20" s="90"/>
    </row>
    <row r="21" spans="3:6">
      <c r="C21" s="90"/>
      <c r="D21" s="90"/>
      <c r="E21" s="90"/>
      <c r="F21" s="90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10"/>
      <c r="B1" s="10"/>
      <c r="C1" s="10"/>
      <c r="D1" s="11" t="s">
        <v>12</v>
      </c>
      <c r="E1" s="12"/>
      <c r="G1" s="10"/>
      <c r="H1" s="10"/>
      <c r="I1" s="11" t="s">
        <v>31</v>
      </c>
      <c r="J1" s="51"/>
      <c r="K1" s="12"/>
    </row>
    <row r="2" spans="1:11">
      <c r="A2" s="13" t="s">
        <v>28</v>
      </c>
      <c r="B2" s="13"/>
      <c r="C2" s="13"/>
      <c r="D2" s="13"/>
      <c r="E2" s="13"/>
      <c r="G2" s="13" t="s">
        <v>36</v>
      </c>
      <c r="H2" s="13"/>
      <c r="I2" s="15"/>
      <c r="J2" s="15"/>
      <c r="K2" s="15"/>
    </row>
    <row r="3" spans="1:11">
      <c r="A3" s="13" t="s">
        <v>13</v>
      </c>
      <c r="B3" s="13"/>
      <c r="C3" s="13"/>
      <c r="D3" s="13"/>
      <c r="E3" s="13"/>
      <c r="G3" s="13" t="s">
        <v>13</v>
      </c>
      <c r="H3" s="13"/>
      <c r="I3" s="15"/>
      <c r="J3" s="15"/>
      <c r="K3" s="15"/>
    </row>
    <row r="4" spans="1:11">
      <c r="A4" s="13" t="s">
        <v>29</v>
      </c>
      <c r="B4" s="13"/>
      <c r="C4" s="13"/>
      <c r="D4" s="13"/>
      <c r="E4" s="13"/>
      <c r="G4" s="13" t="s">
        <v>42</v>
      </c>
      <c r="H4" s="13"/>
      <c r="I4" s="15"/>
      <c r="J4" s="15"/>
      <c r="K4" s="15"/>
    </row>
    <row r="5" spans="1:11">
      <c r="A5" s="13" t="s">
        <v>30</v>
      </c>
      <c r="B5" s="13"/>
      <c r="C5" s="13"/>
      <c r="D5" s="13"/>
      <c r="E5" s="13"/>
      <c r="G5" s="13" t="str">
        <f>$A$5</f>
        <v>12 MONTHS ENDED JUNE 30, 2021</v>
      </c>
      <c r="H5" s="13"/>
      <c r="I5" s="15"/>
      <c r="J5" s="15"/>
      <c r="K5" s="15"/>
    </row>
    <row r="6" spans="1:11">
      <c r="A6" s="14" t="s">
        <v>14</v>
      </c>
      <c r="B6" s="14"/>
      <c r="C6" s="14"/>
      <c r="D6" s="14"/>
      <c r="E6" s="14"/>
      <c r="G6" s="14" t="s">
        <v>32</v>
      </c>
      <c r="H6" s="14"/>
      <c r="I6" s="14"/>
      <c r="J6" s="14"/>
      <c r="K6" s="14"/>
    </row>
    <row r="7" spans="1:11">
      <c r="A7" s="10"/>
      <c r="B7" s="15"/>
      <c r="C7" s="15"/>
      <c r="D7" s="15"/>
      <c r="E7" s="15"/>
      <c r="G7" s="15"/>
      <c r="H7" s="15"/>
      <c r="I7" s="15"/>
      <c r="J7" s="15"/>
      <c r="K7" s="15"/>
    </row>
    <row r="8" spans="1:11">
      <c r="A8" s="10"/>
      <c r="B8" s="10"/>
      <c r="C8" s="10"/>
      <c r="D8" s="10"/>
      <c r="E8" s="10"/>
      <c r="G8" s="15"/>
      <c r="H8" s="15"/>
      <c r="I8" s="15"/>
      <c r="J8" s="15"/>
      <c r="K8" s="10"/>
    </row>
    <row r="9" spans="1:11">
      <c r="A9" s="16" t="s">
        <v>15</v>
      </c>
      <c r="B9" s="16"/>
      <c r="C9" s="17" t="s">
        <v>16</v>
      </c>
      <c r="D9" s="10"/>
      <c r="E9" s="17" t="s">
        <v>17</v>
      </c>
      <c r="G9" s="16" t="s">
        <v>15</v>
      </c>
      <c r="H9" s="16"/>
      <c r="I9" s="16"/>
      <c r="J9" s="10"/>
      <c r="K9" s="10"/>
    </row>
    <row r="10" spans="1:11">
      <c r="A10" s="18" t="s">
        <v>18</v>
      </c>
      <c r="B10" s="18" t="s">
        <v>19</v>
      </c>
      <c r="C10" s="19" t="s">
        <v>20</v>
      </c>
      <c r="D10" s="19" t="s">
        <v>21</v>
      </c>
      <c r="E10" s="19" t="s">
        <v>21</v>
      </c>
      <c r="G10" s="18" t="s">
        <v>18</v>
      </c>
      <c r="H10" s="18" t="s">
        <v>19</v>
      </c>
      <c r="I10" s="18"/>
      <c r="J10" s="52"/>
      <c r="K10" s="52"/>
    </row>
    <row r="11" spans="1:11">
      <c r="B11" s="1"/>
      <c r="C11" s="1"/>
      <c r="D11" s="1"/>
      <c r="E11" s="1"/>
      <c r="G11" s="77"/>
      <c r="H11" s="22"/>
      <c r="I11" s="22"/>
      <c r="J11" s="22"/>
      <c r="K11" s="23"/>
    </row>
    <row r="12" spans="1:11">
      <c r="A12" s="20">
        <v>12</v>
      </c>
      <c r="B12" s="21" t="s">
        <v>22</v>
      </c>
      <c r="C12" s="22"/>
      <c r="D12" s="22"/>
      <c r="E12" s="23"/>
      <c r="G12" s="78">
        <f>ROW()</f>
        <v>12</v>
      </c>
      <c r="H12" s="60" t="s">
        <v>33</v>
      </c>
      <c r="I12" s="61"/>
      <c r="J12" s="61"/>
      <c r="K12" s="62">
        <v>4.1980000000000003E-3</v>
      </c>
    </row>
    <row r="13" spans="1:11">
      <c r="A13" s="24">
        <v>13</v>
      </c>
      <c r="B13" s="25" t="s">
        <v>23</v>
      </c>
      <c r="C13" s="26">
        <v>0.51039999999999996</v>
      </c>
      <c r="D13" s="26">
        <v>5.1332288401253916E-2</v>
      </c>
      <c r="E13" s="27">
        <v>2.6200000000000001E-2</v>
      </c>
      <c r="G13" s="78">
        <f t="shared" ref="G13:G20" si="0">G12+1</f>
        <v>13</v>
      </c>
      <c r="H13" s="60" t="s">
        <v>34</v>
      </c>
      <c r="I13" s="61"/>
      <c r="J13" s="61"/>
      <c r="K13" s="63">
        <v>4.0000000000000001E-3</v>
      </c>
    </row>
    <row r="14" spans="1:11">
      <c r="A14" s="24">
        <v>14</v>
      </c>
      <c r="B14" s="25" t="s">
        <v>24</v>
      </c>
      <c r="C14" s="26">
        <v>0.48959999999999998</v>
      </c>
      <c r="D14" s="26">
        <v>9.4252054794520562E-2</v>
      </c>
      <c r="E14" s="27">
        <v>4.6100000000000002E-2</v>
      </c>
      <c r="G14" s="78">
        <f t="shared" si="0"/>
        <v>14</v>
      </c>
      <c r="H14" s="60" t="str">
        <f>"STATE UTILITY TAX ( "&amp;K14*100&amp;"% - ( LINE 1 * "&amp;K14*100&amp;"% )  )"</f>
        <v>STATE UTILITY TAX ( 3.8358% - ( LINE 1 * 3.8358% )  )</v>
      </c>
      <c r="I14" s="30"/>
      <c r="J14" s="53">
        <v>3.8519999999999999E-2</v>
      </c>
      <c r="K14" s="64">
        <v>3.8358000000000003E-2</v>
      </c>
    </row>
    <row r="15" spans="1:11">
      <c r="A15" s="24">
        <v>15</v>
      </c>
      <c r="B15" s="25" t="s">
        <v>25</v>
      </c>
      <c r="C15" s="28">
        <v>1</v>
      </c>
      <c r="D15" s="22"/>
      <c r="E15" s="29">
        <v>7.2300000000000003E-2</v>
      </c>
      <c r="G15" s="78">
        <f t="shared" si="0"/>
        <v>15</v>
      </c>
      <c r="H15" s="60"/>
      <c r="I15" s="61"/>
      <c r="J15" s="61"/>
      <c r="K15" s="62"/>
    </row>
    <row r="16" spans="1:11">
      <c r="A16" s="24">
        <v>16</v>
      </c>
      <c r="B16" s="25"/>
      <c r="C16" s="30"/>
      <c r="D16" s="30"/>
      <c r="E16" s="31"/>
      <c r="G16" s="78">
        <f t="shared" si="0"/>
        <v>16</v>
      </c>
      <c r="H16" s="60" t="s">
        <v>35</v>
      </c>
      <c r="I16" s="61"/>
      <c r="J16" s="61"/>
      <c r="K16" s="62">
        <f>ROUND(SUM(K12:K14),6)</f>
        <v>4.6556E-2</v>
      </c>
    </row>
    <row r="17" spans="1:11">
      <c r="A17" s="24">
        <v>17</v>
      </c>
      <c r="B17" s="25" t="s">
        <v>26</v>
      </c>
      <c r="C17" s="26">
        <v>0.51039999999999996</v>
      </c>
      <c r="D17" s="26">
        <v>4.0552507836990596E-2</v>
      </c>
      <c r="E17" s="27">
        <v>2.07E-2</v>
      </c>
      <c r="G17" s="78">
        <f t="shared" si="0"/>
        <v>17</v>
      </c>
      <c r="H17" s="61"/>
      <c r="I17" s="61"/>
      <c r="J17" s="61"/>
      <c r="K17" s="62"/>
    </row>
    <row r="18" spans="1:11">
      <c r="A18" s="24">
        <v>18</v>
      </c>
      <c r="B18" s="25" t="s">
        <v>24</v>
      </c>
      <c r="C18" s="26">
        <v>0.48959999999999998</v>
      </c>
      <c r="D18" s="26">
        <v>9.4252054794520562E-2</v>
      </c>
      <c r="E18" s="27">
        <v>4.6100000000000002E-2</v>
      </c>
      <c r="G18" s="78">
        <f t="shared" si="0"/>
        <v>18</v>
      </c>
      <c r="H18" s="61" t="str">
        <f>"CONVERSION FACTOR EXCLUDING FEDERAL INCOME TAX ( 1 - LINE "&amp;$K$17&amp;" )"</f>
        <v>CONVERSION FACTOR EXCLUDING FEDERAL INCOME TAX ( 1 - LINE  )</v>
      </c>
      <c r="I18" s="61"/>
      <c r="J18" s="61"/>
      <c r="K18" s="62">
        <f>ROUND(1-K16,6)</f>
        <v>0.95344399999999996</v>
      </c>
    </row>
    <row r="19" spans="1:11">
      <c r="A19" s="24">
        <v>19</v>
      </c>
      <c r="B19" s="32" t="s">
        <v>27</v>
      </c>
      <c r="C19" s="33">
        <v>1</v>
      </c>
      <c r="D19" s="34"/>
      <c r="E19" s="35">
        <v>6.6799999999999998E-2</v>
      </c>
      <c r="G19" s="78">
        <f t="shared" si="0"/>
        <v>19</v>
      </c>
      <c r="H19" s="60" t="s">
        <v>38</v>
      </c>
      <c r="I19" s="61"/>
      <c r="J19" s="65">
        <v>0.21</v>
      </c>
      <c r="K19" s="62">
        <v>0.20022300000000001</v>
      </c>
    </row>
    <row r="20" spans="1:11">
      <c r="A20" s="24">
        <v>20</v>
      </c>
      <c r="B20" s="30"/>
      <c r="C20" s="30"/>
      <c r="D20" s="30"/>
      <c r="E20" s="30"/>
      <c r="G20" s="79">
        <f t="shared" si="0"/>
        <v>20</v>
      </c>
      <c r="H20" s="80" t="str">
        <f>"CONVERSION FACTOR INCL FEDERAL INCOME TAX ( LINE "&amp;G18&amp;" - LINE "&amp;G19&amp;" ) "</f>
        <v xml:space="preserve">CONVERSION FACTOR INCL FEDERAL INCOME TAX ( LINE 18 - LINE 19 ) </v>
      </c>
      <c r="I20" s="81"/>
      <c r="J20" s="81"/>
      <c r="K20" s="82">
        <f>ROUND(1-K19-K16,6)</f>
        <v>0.75322100000000003</v>
      </c>
    </row>
    <row r="21" spans="1:11">
      <c r="A21" s="24">
        <v>21</v>
      </c>
      <c r="B21" s="37">
        <v>2023</v>
      </c>
      <c r="C21" s="38"/>
      <c r="D21" s="38"/>
      <c r="E21" s="39"/>
    </row>
    <row r="22" spans="1:11">
      <c r="A22" s="24">
        <v>22</v>
      </c>
      <c r="B22" s="40" t="s">
        <v>23</v>
      </c>
      <c r="C22" s="41">
        <v>0.51</v>
      </c>
      <c r="D22" s="41">
        <v>0.05</v>
      </c>
      <c r="E22" s="42">
        <v>2.5499999999999998E-2</v>
      </c>
    </row>
    <row r="23" spans="1:11">
      <c r="A23" s="24">
        <v>23</v>
      </c>
      <c r="B23" s="40" t="s">
        <v>24</v>
      </c>
      <c r="C23" s="41">
        <v>0.49</v>
      </c>
      <c r="D23" s="41">
        <v>9.4E-2</v>
      </c>
      <c r="E23" s="42">
        <v>4.6100000000000002E-2</v>
      </c>
    </row>
    <row r="24" spans="1:11">
      <c r="A24" s="24">
        <v>24</v>
      </c>
      <c r="B24" s="40" t="s">
        <v>25</v>
      </c>
      <c r="C24" s="43">
        <v>1</v>
      </c>
      <c r="D24" s="38"/>
      <c r="E24" s="50">
        <v>7.1599999999999997E-2</v>
      </c>
    </row>
    <row r="25" spans="1:11">
      <c r="A25" s="24">
        <v>25</v>
      </c>
      <c r="B25" s="40"/>
      <c r="C25" s="44"/>
      <c r="D25" s="44"/>
      <c r="E25" s="45"/>
    </row>
    <row r="26" spans="1:11">
      <c r="A26" s="24">
        <v>26</v>
      </c>
      <c r="B26" s="40" t="s">
        <v>26</v>
      </c>
      <c r="C26" s="41">
        <v>0.51</v>
      </c>
      <c r="D26" s="41">
        <v>3.9500000000000007E-2</v>
      </c>
      <c r="E26" s="42">
        <v>2.01E-2</v>
      </c>
    </row>
    <row r="27" spans="1:11">
      <c r="A27" s="24">
        <v>27</v>
      </c>
      <c r="B27" s="40" t="s">
        <v>24</v>
      </c>
      <c r="C27" s="41">
        <v>0.49</v>
      </c>
      <c r="D27" s="41">
        <v>9.4E-2</v>
      </c>
      <c r="E27" s="42">
        <v>4.6100000000000002E-2</v>
      </c>
    </row>
    <row r="28" spans="1:11">
      <c r="A28" s="24">
        <v>28</v>
      </c>
      <c r="B28" s="46" t="s">
        <v>27</v>
      </c>
      <c r="C28" s="47">
        <v>1</v>
      </c>
      <c r="D28" s="48"/>
      <c r="E28" s="49">
        <v>6.6200000000000009E-2</v>
      </c>
    </row>
    <row r="29" spans="1:11">
      <c r="A29" s="24">
        <v>29</v>
      </c>
      <c r="B29" s="44"/>
      <c r="C29" s="44"/>
      <c r="D29" s="44"/>
      <c r="E29" s="44"/>
    </row>
    <row r="30" spans="1:11">
      <c r="A30" s="24">
        <v>30</v>
      </c>
      <c r="B30" s="21">
        <v>2024</v>
      </c>
      <c r="C30" s="22"/>
      <c r="D30" s="22"/>
      <c r="E30" s="23"/>
    </row>
    <row r="31" spans="1:11">
      <c r="A31" s="24">
        <v>31</v>
      </c>
      <c r="B31" s="25" t="s">
        <v>23</v>
      </c>
      <c r="C31" s="26">
        <v>0.51</v>
      </c>
      <c r="D31" s="26">
        <v>0.05</v>
      </c>
      <c r="E31" s="27">
        <v>2.5499999999999998E-2</v>
      </c>
    </row>
    <row r="32" spans="1:11">
      <c r="A32" s="24">
        <v>32</v>
      </c>
      <c r="B32" s="25" t="s">
        <v>24</v>
      </c>
      <c r="C32" s="26">
        <v>0.49</v>
      </c>
      <c r="D32" s="26">
        <v>9.4E-2</v>
      </c>
      <c r="E32" s="27">
        <v>4.6100000000000002E-2</v>
      </c>
    </row>
    <row r="33" spans="1:5">
      <c r="A33" s="24">
        <v>33</v>
      </c>
      <c r="B33" s="25" t="s">
        <v>25</v>
      </c>
      <c r="C33" s="28">
        <v>1</v>
      </c>
      <c r="D33" s="22"/>
      <c r="E33" s="36">
        <v>7.1599999999999997E-2</v>
      </c>
    </row>
    <row r="34" spans="1:5">
      <c r="A34" s="24">
        <v>34</v>
      </c>
      <c r="B34" s="25"/>
      <c r="C34" s="30"/>
      <c r="D34" s="30"/>
      <c r="E34" s="31"/>
    </row>
    <row r="35" spans="1:5">
      <c r="A35" s="24">
        <v>35</v>
      </c>
      <c r="B35" s="25" t="s">
        <v>26</v>
      </c>
      <c r="C35" s="26">
        <v>0.51</v>
      </c>
      <c r="D35" s="26">
        <v>3.9500000000000007E-2</v>
      </c>
      <c r="E35" s="27">
        <v>2.01E-2</v>
      </c>
    </row>
    <row r="36" spans="1:5">
      <c r="A36" s="24">
        <v>36</v>
      </c>
      <c r="B36" s="25" t="s">
        <v>24</v>
      </c>
      <c r="C36" s="26">
        <v>0.49</v>
      </c>
      <c r="D36" s="26">
        <v>9.4E-2</v>
      </c>
      <c r="E36" s="27">
        <v>4.6100000000000002E-2</v>
      </c>
    </row>
    <row r="37" spans="1:5">
      <c r="A37" s="24">
        <v>37</v>
      </c>
      <c r="B37" s="32" t="s">
        <v>27</v>
      </c>
      <c r="C37" s="33">
        <v>1</v>
      </c>
      <c r="D37" s="34"/>
      <c r="E37" s="35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A9" workbookViewId="0">
      <selection activeCell="E26" sqref="E26"/>
    </sheetView>
  </sheetViews>
  <sheetFormatPr defaultColWidth="9.85546875" defaultRowHeight="12.75"/>
  <cols>
    <col min="1" max="1" width="3.28515625" style="240" customWidth="1"/>
    <col min="2" max="2" width="32" style="240" customWidth="1"/>
    <col min="3" max="3" width="15.5703125" style="240" customWidth="1"/>
    <col min="4" max="4" width="11.5703125" style="240" customWidth="1"/>
    <col min="5" max="5" width="11.28515625" style="240" customWidth="1"/>
    <col min="6" max="6" width="11.5703125" style="240" customWidth="1"/>
    <col min="7" max="7" width="9.85546875" style="240" customWidth="1"/>
    <col min="8" max="8" width="11.85546875" style="240" customWidth="1"/>
    <col min="9" max="9" width="15.140625" style="240" customWidth="1"/>
    <col min="10" max="10" width="7.28515625" style="240" customWidth="1"/>
    <col min="11" max="11" width="7.7109375" style="240" customWidth="1"/>
    <col min="12" max="12" width="7.42578125" style="240" customWidth="1"/>
    <col min="13" max="16384" width="9.85546875" style="240"/>
  </cols>
  <sheetData>
    <row r="1" spans="1:12" ht="15.75">
      <c r="B1" s="241" t="s">
        <v>167</v>
      </c>
      <c r="C1" s="241"/>
      <c r="D1" s="241"/>
      <c r="E1" s="241"/>
      <c r="F1" s="241"/>
    </row>
    <row r="2" spans="1:12">
      <c r="A2" s="242"/>
      <c r="B2" s="243"/>
      <c r="C2" s="243"/>
      <c r="D2" s="243"/>
      <c r="E2" s="243"/>
      <c r="F2" s="243"/>
    </row>
    <row r="3" spans="1:12" ht="15.75">
      <c r="B3" s="244" t="s">
        <v>168</v>
      </c>
      <c r="C3" s="244"/>
      <c r="D3" s="244"/>
      <c r="E3" s="244"/>
      <c r="F3" s="244"/>
    </row>
    <row r="4" spans="1:12" ht="15.75">
      <c r="B4" s="245" t="s">
        <v>169</v>
      </c>
      <c r="C4" s="245"/>
      <c r="D4" s="245"/>
      <c r="E4" s="245"/>
      <c r="F4" s="245"/>
      <c r="H4" s="246"/>
      <c r="L4" s="247"/>
    </row>
    <row r="5" spans="1:12">
      <c r="A5" s="248"/>
      <c r="B5" s="249" t="s">
        <v>170</v>
      </c>
      <c r="C5" s="249"/>
      <c r="D5" s="249"/>
      <c r="E5" s="249"/>
      <c r="F5" s="249"/>
      <c r="H5" s="246"/>
      <c r="L5" s="247"/>
    </row>
    <row r="6" spans="1:12">
      <c r="A6" s="250"/>
      <c r="C6" s="251"/>
      <c r="F6" s="252"/>
      <c r="H6" s="246"/>
      <c r="L6" s="247"/>
    </row>
    <row r="7" spans="1:12">
      <c r="A7" s="250"/>
      <c r="B7" s="248"/>
      <c r="C7" s="248"/>
      <c r="D7" s="248"/>
      <c r="E7" s="248"/>
      <c r="F7" s="248"/>
      <c r="H7" s="246"/>
      <c r="L7" s="247"/>
    </row>
    <row r="8" spans="1:12">
      <c r="A8" s="253">
        <v>1</v>
      </c>
      <c r="B8" s="254" t="s">
        <v>171</v>
      </c>
      <c r="C8" s="254" t="s">
        <v>172</v>
      </c>
      <c r="D8" s="254" t="s">
        <v>173</v>
      </c>
      <c r="E8" s="254" t="s">
        <v>174</v>
      </c>
      <c r="F8" s="254" t="s">
        <v>175</v>
      </c>
      <c r="H8" s="246"/>
      <c r="L8" s="247"/>
    </row>
    <row r="9" spans="1:12">
      <c r="A9" s="253">
        <f>+A8+1</f>
        <v>2</v>
      </c>
      <c r="B9" s="248"/>
      <c r="C9" s="248"/>
      <c r="D9" s="248"/>
      <c r="E9" s="248"/>
      <c r="F9" s="248"/>
      <c r="H9" s="246"/>
      <c r="L9" s="247"/>
    </row>
    <row r="10" spans="1:12">
      <c r="A10" s="253">
        <f t="shared" ref="A10:A17" si="0">+A9+1</f>
        <v>3</v>
      </c>
      <c r="B10" s="255" t="s">
        <v>176</v>
      </c>
      <c r="C10" s="256"/>
      <c r="D10" s="256"/>
      <c r="E10" s="256"/>
      <c r="F10" s="256" t="s">
        <v>177</v>
      </c>
      <c r="H10" s="246"/>
      <c r="L10" s="247"/>
    </row>
    <row r="11" spans="1:12">
      <c r="A11" s="253">
        <f t="shared" si="0"/>
        <v>4</v>
      </c>
      <c r="B11" s="256"/>
      <c r="C11" s="257"/>
      <c r="D11" s="256"/>
      <c r="E11" s="256"/>
      <c r="F11" s="257" t="s">
        <v>178</v>
      </c>
      <c r="H11" s="246"/>
      <c r="L11" s="247"/>
    </row>
    <row r="12" spans="1:12">
      <c r="A12" s="253">
        <f t="shared" si="0"/>
        <v>5</v>
      </c>
      <c r="B12" s="258" t="s">
        <v>87</v>
      </c>
      <c r="C12" s="258" t="s">
        <v>179</v>
      </c>
      <c r="D12" s="258" t="s">
        <v>180</v>
      </c>
      <c r="E12" s="258" t="s">
        <v>181</v>
      </c>
      <c r="F12" s="258" t="s">
        <v>182</v>
      </c>
      <c r="H12" s="246"/>
      <c r="L12" s="247"/>
    </row>
    <row r="13" spans="1:12">
      <c r="A13" s="253">
        <f t="shared" si="0"/>
        <v>6</v>
      </c>
      <c r="B13" s="259"/>
      <c r="C13" s="259"/>
      <c r="D13" s="259"/>
      <c r="E13" s="259"/>
      <c r="F13" s="259"/>
      <c r="H13" s="246"/>
      <c r="L13" s="247"/>
    </row>
    <row r="14" spans="1:12">
      <c r="A14" s="253">
        <f t="shared" si="0"/>
        <v>7</v>
      </c>
      <c r="B14" s="259" t="s">
        <v>183</v>
      </c>
      <c r="C14" s="260">
        <v>97854167</v>
      </c>
      <c r="D14" s="261">
        <f>ROUND(C14/$C$30,4)</f>
        <v>1.03E-2</v>
      </c>
      <c r="E14" s="262">
        <v>3.3099999999999997E-2</v>
      </c>
      <c r="F14" s="263">
        <f>ROUND(D14*E14,4)</f>
        <v>2.9999999999999997E-4</v>
      </c>
      <c r="L14" s="246"/>
    </row>
    <row r="15" spans="1:12">
      <c r="A15" s="253">
        <f t="shared" si="0"/>
        <v>8</v>
      </c>
      <c r="B15" s="259"/>
      <c r="C15" s="264"/>
      <c r="D15" s="263"/>
      <c r="E15" s="265"/>
      <c r="F15" s="263"/>
      <c r="L15" s="246"/>
    </row>
    <row r="16" spans="1:12">
      <c r="A16" s="253">
        <f t="shared" si="0"/>
        <v>9</v>
      </c>
      <c r="B16" s="259" t="s">
        <v>184</v>
      </c>
      <c r="C16" s="264">
        <v>4785750642</v>
      </c>
      <c r="D16" s="266">
        <f>ROUND(C16/$C$30,4)</f>
        <v>0.50290000000000001</v>
      </c>
      <c r="E16" s="267">
        <v>5.0700000000000002E-2</v>
      </c>
      <c r="F16" s="263">
        <f>ROUND(D16*E16,4)</f>
        <v>2.5499999999999998E-2</v>
      </c>
      <c r="L16" s="246"/>
    </row>
    <row r="17" spans="1:12">
      <c r="A17" s="253">
        <f t="shared" si="0"/>
        <v>10</v>
      </c>
      <c r="B17" s="268"/>
      <c r="C17" s="269"/>
      <c r="D17" s="263"/>
      <c r="E17" s="267"/>
      <c r="F17" s="270"/>
      <c r="H17" s="271"/>
      <c r="I17" s="272"/>
      <c r="J17" s="272"/>
      <c r="K17" s="272"/>
      <c r="L17" s="273"/>
    </row>
    <row r="18" spans="1:12">
      <c r="A18" s="253">
        <v>11</v>
      </c>
      <c r="B18" s="248" t="s">
        <v>185</v>
      </c>
      <c r="C18" s="269"/>
      <c r="D18" s="263">
        <f>ROUND((C14+C16)/C30,4)</f>
        <v>0.51319999999999999</v>
      </c>
      <c r="E18" s="267">
        <v>5.04E-2</v>
      </c>
      <c r="F18" s="270">
        <f>F16+F14</f>
        <v>2.58E-2</v>
      </c>
      <c r="H18" s="274"/>
      <c r="I18" s="272"/>
      <c r="J18" s="272"/>
      <c r="K18" s="272"/>
      <c r="L18" s="273"/>
    </row>
    <row r="19" spans="1:12">
      <c r="A19" s="253">
        <v>12</v>
      </c>
      <c r="B19" s="268"/>
      <c r="C19" s="269"/>
      <c r="D19" s="263"/>
      <c r="E19" s="267"/>
      <c r="F19" s="270"/>
      <c r="H19" s="271"/>
      <c r="I19" s="272"/>
      <c r="J19" s="272"/>
      <c r="K19" s="272"/>
      <c r="L19" s="273"/>
    </row>
    <row r="20" spans="1:12">
      <c r="A20" s="253">
        <v>13</v>
      </c>
      <c r="B20" s="248" t="s">
        <v>186</v>
      </c>
      <c r="C20" s="269"/>
      <c r="D20" s="263"/>
      <c r="E20" s="267"/>
      <c r="F20" s="270">
        <v>2.0000000000000001E-4</v>
      </c>
      <c r="H20" s="271"/>
      <c r="I20" s="272"/>
      <c r="J20" s="272"/>
      <c r="K20" s="272"/>
      <c r="L20" s="273"/>
    </row>
    <row r="21" spans="1:12">
      <c r="A21" s="253">
        <v>14</v>
      </c>
      <c r="B21" s="268"/>
      <c r="C21" s="269"/>
      <c r="D21" s="263"/>
      <c r="E21" s="267"/>
      <c r="F21" s="270"/>
      <c r="H21" s="271"/>
      <c r="I21" s="272"/>
      <c r="J21" s="272"/>
      <c r="K21" s="272"/>
      <c r="L21" s="273"/>
    </row>
    <row r="22" spans="1:12">
      <c r="A22" s="253">
        <v>15</v>
      </c>
      <c r="B22" s="248" t="s">
        <v>187</v>
      </c>
      <c r="C22" s="269"/>
      <c r="D22" s="263"/>
      <c r="E22" s="267"/>
      <c r="F22" s="270">
        <v>1E-4</v>
      </c>
      <c r="H22" s="271"/>
      <c r="I22" s="272"/>
      <c r="J22" s="272"/>
      <c r="K22" s="272"/>
      <c r="L22" s="273"/>
    </row>
    <row r="23" spans="1:12">
      <c r="A23" s="253">
        <v>16</v>
      </c>
      <c r="B23" s="268"/>
      <c r="C23" s="269"/>
      <c r="D23" s="263"/>
      <c r="E23" s="267"/>
      <c r="F23" s="270"/>
      <c r="H23" s="271"/>
      <c r="I23" s="272"/>
      <c r="J23" s="272"/>
      <c r="K23" s="272"/>
      <c r="L23" s="273"/>
    </row>
    <row r="24" spans="1:12">
      <c r="A24" s="253">
        <v>17</v>
      </c>
      <c r="B24" s="248" t="s">
        <v>188</v>
      </c>
      <c r="C24" s="269"/>
      <c r="D24" s="263"/>
      <c r="E24" s="267"/>
      <c r="F24" s="270">
        <v>2.0000000000000001E-4</v>
      </c>
      <c r="H24" s="271"/>
      <c r="I24" s="272"/>
      <c r="J24" s="272"/>
      <c r="K24" s="272"/>
      <c r="L24" s="273"/>
    </row>
    <row r="25" spans="1:12">
      <c r="A25" s="253">
        <v>18</v>
      </c>
      <c r="B25" s="268"/>
      <c r="C25" s="269"/>
      <c r="D25" s="263"/>
      <c r="E25" s="267"/>
      <c r="F25" s="270"/>
      <c r="H25" s="271"/>
      <c r="I25" s="272"/>
      <c r="J25" s="272"/>
      <c r="K25" s="272"/>
      <c r="L25" s="273"/>
    </row>
    <row r="26" spans="1:12">
      <c r="A26" s="253">
        <v>19</v>
      </c>
      <c r="B26" s="268" t="s">
        <v>189</v>
      </c>
      <c r="C26" s="275">
        <f>C16+C14</f>
        <v>4883604809</v>
      </c>
      <c r="D26" s="276">
        <f>D18</f>
        <v>0.51319999999999999</v>
      </c>
      <c r="E26" s="277">
        <f>F26/D26</f>
        <v>5.1247077162899453E-2</v>
      </c>
      <c r="F26" s="278">
        <f>SUM(F18:F25)</f>
        <v>2.6299999999999997E-2</v>
      </c>
      <c r="G26" s="279"/>
      <c r="H26" s="271"/>
      <c r="I26" s="272"/>
      <c r="J26" s="272"/>
      <c r="K26" s="272"/>
      <c r="L26" s="273"/>
    </row>
    <row r="27" spans="1:12">
      <c r="A27" s="253">
        <v>20</v>
      </c>
      <c r="B27" s="268"/>
      <c r="C27" s="269"/>
      <c r="D27" s="263"/>
      <c r="E27" s="267"/>
      <c r="F27" s="270"/>
      <c r="H27" s="271"/>
      <c r="I27" s="272"/>
      <c r="J27" s="272"/>
      <c r="K27" s="272"/>
      <c r="L27" s="273"/>
    </row>
    <row r="28" spans="1:12">
      <c r="A28" s="253">
        <v>21</v>
      </c>
      <c r="B28" s="280" t="s">
        <v>190</v>
      </c>
      <c r="C28" s="281">
        <v>4632159583</v>
      </c>
      <c r="D28" s="282">
        <f>ROUND(C28/$C$30,4)</f>
        <v>0.48680000000000001</v>
      </c>
      <c r="E28" s="283">
        <v>9.4E-2</v>
      </c>
      <c r="F28" s="284">
        <f>ROUND(D28*E28,4)</f>
        <v>4.58E-2</v>
      </c>
      <c r="H28" s="285"/>
      <c r="I28" s="283"/>
      <c r="J28" s="286"/>
      <c r="K28" s="287"/>
      <c r="L28" s="267"/>
    </row>
    <row r="29" spans="1:12">
      <c r="A29" s="253">
        <v>22</v>
      </c>
      <c r="B29" s="268"/>
      <c r="C29" s="267"/>
      <c r="D29" s="288"/>
      <c r="E29" s="289"/>
      <c r="F29" s="267"/>
      <c r="H29" s="285"/>
      <c r="I29" s="283"/>
      <c r="J29" s="286"/>
      <c r="K29" s="287"/>
      <c r="L29" s="267"/>
    </row>
    <row r="30" spans="1:12">
      <c r="A30" s="253">
        <v>23</v>
      </c>
      <c r="B30" s="280" t="s">
        <v>90</v>
      </c>
      <c r="C30" s="290">
        <f>C28+C26</f>
        <v>9515764392</v>
      </c>
      <c r="D30" s="291">
        <f>D28+D18</f>
        <v>1</v>
      </c>
      <c r="E30" s="292"/>
      <c r="F30" s="293">
        <f>F28+F26</f>
        <v>7.2099999999999997E-2</v>
      </c>
      <c r="H30" s="294"/>
      <c r="I30" s="294"/>
      <c r="J30" s="286"/>
      <c r="K30" s="267"/>
      <c r="L30" s="295"/>
    </row>
    <row r="31" spans="1:12">
      <c r="A31" s="253">
        <v>24</v>
      </c>
      <c r="B31" s="248"/>
      <c r="C31" s="294"/>
      <c r="D31" s="294"/>
      <c r="E31" s="296"/>
      <c r="F31" s="294"/>
      <c r="H31" s="248"/>
      <c r="I31" s="248"/>
      <c r="J31" s="248"/>
    </row>
    <row r="32" spans="1:12">
      <c r="A32" s="253">
        <v>25</v>
      </c>
      <c r="B32" s="248"/>
      <c r="C32" s="248"/>
      <c r="D32" s="248"/>
      <c r="E32" s="294"/>
      <c r="F32" s="248"/>
    </row>
    <row r="33" spans="1:7">
      <c r="A33" s="253">
        <v>26</v>
      </c>
      <c r="B33" s="297" t="s">
        <v>191</v>
      </c>
      <c r="C33" s="248"/>
      <c r="D33" s="248"/>
      <c r="E33" s="298"/>
      <c r="F33" s="248"/>
      <c r="G33" s="299"/>
    </row>
    <row r="34" spans="1:7">
      <c r="A34" s="300"/>
      <c r="B34" s="248"/>
      <c r="C34" s="248"/>
      <c r="D34" s="248"/>
      <c r="E34" s="248"/>
      <c r="F34" s="248"/>
    </row>
    <row r="35" spans="1:7">
      <c r="A35" s="300"/>
      <c r="B35" s="248"/>
      <c r="C35" s="264"/>
      <c r="D35" s="248"/>
      <c r="E35" s="248"/>
      <c r="F35" s="248"/>
    </row>
    <row r="36" spans="1:7">
      <c r="A36" s="300"/>
      <c r="B36" s="248"/>
      <c r="C36" s="264"/>
      <c r="D36" s="248"/>
      <c r="E36" s="248"/>
      <c r="F36" s="248"/>
    </row>
    <row r="37" spans="1:7">
      <c r="A37" s="300"/>
      <c r="B37" s="248"/>
      <c r="C37" s="264"/>
      <c r="D37" s="248"/>
      <c r="E37" s="248"/>
      <c r="F37" s="248"/>
    </row>
    <row r="38" spans="1:7">
      <c r="A38" s="300"/>
      <c r="B38" s="248"/>
      <c r="D38" s="248"/>
      <c r="E38" s="248"/>
      <c r="F38" s="248"/>
    </row>
    <row r="39" spans="1:7">
      <c r="A39" s="300"/>
      <c r="B39" s="248"/>
      <c r="C39" s="301"/>
      <c r="D39" s="248"/>
      <c r="E39" s="248"/>
      <c r="F39" s="248"/>
    </row>
    <row r="40" spans="1:7">
      <c r="A40" s="300"/>
      <c r="B40" s="248"/>
      <c r="C40" s="248"/>
      <c r="D40" s="248"/>
      <c r="E40" s="248"/>
      <c r="F40" s="248"/>
    </row>
    <row r="41" spans="1:7">
      <c r="A41" s="300"/>
      <c r="B41" s="248"/>
      <c r="C41" s="248"/>
      <c r="D41" s="248"/>
      <c r="E41" s="248"/>
      <c r="F41" s="248"/>
    </row>
    <row r="42" spans="1:7">
      <c r="B42" s="248"/>
      <c r="C42" s="248"/>
      <c r="D42" s="248"/>
      <c r="E42" s="248"/>
      <c r="F42" s="248"/>
    </row>
    <row r="43" spans="1:7">
      <c r="B43" s="248"/>
      <c r="C43" s="248"/>
      <c r="D43" s="248"/>
      <c r="E43" s="248"/>
      <c r="F43" s="248"/>
    </row>
    <row r="44" spans="1:7">
      <c r="E44" s="248"/>
    </row>
    <row r="46" spans="1:7">
      <c r="C46" s="302"/>
      <c r="D46" s="303"/>
    </row>
    <row r="47" spans="1:7">
      <c r="D47" s="303"/>
    </row>
    <row r="48" spans="1:7">
      <c r="C48" s="302"/>
      <c r="D48" s="303"/>
    </row>
    <row r="49" spans="3:4">
      <c r="C49" s="302"/>
      <c r="D49" s="303"/>
    </row>
    <row r="50" spans="3:4">
      <c r="C50" s="302"/>
      <c r="D50" s="303"/>
    </row>
    <row r="51" spans="3:4">
      <c r="C51" s="302"/>
      <c r="D51" s="303"/>
    </row>
    <row r="52" spans="3:4">
      <c r="D52" s="303"/>
    </row>
    <row r="53" spans="3:4">
      <c r="C53" s="302"/>
      <c r="D53" s="303"/>
    </row>
    <row r="54" spans="3:4">
      <c r="D54" s="304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zoomScale="85" zoomScaleNormal="85" workbookViewId="0">
      <selection activeCell="E21" sqref="E21"/>
    </sheetView>
  </sheetViews>
  <sheetFormatPr defaultColWidth="9.140625" defaultRowHeight="15"/>
  <cols>
    <col min="1" max="1" width="9.140625" style="55"/>
    <col min="2" max="2" width="5.140625" style="55" customWidth="1"/>
    <col min="3" max="3" width="37" style="55" customWidth="1"/>
    <col min="4" max="4" width="6" style="55" customWidth="1"/>
    <col min="5" max="5" width="14.85546875" style="55" bestFit="1" customWidth="1"/>
    <col min="6" max="6" width="9.140625" style="55"/>
    <col min="7" max="7" width="14.85546875" bestFit="1" customWidth="1"/>
    <col min="8" max="8" width="13.140625" bestFit="1" customWidth="1"/>
    <col min="9" max="9" width="11.5703125" bestFit="1" customWidth="1"/>
    <col min="11" max="16384" width="9.140625" style="55"/>
  </cols>
  <sheetData>
    <row r="1" spans="1:10" ht="18.75">
      <c r="A1" s="323" t="s">
        <v>208</v>
      </c>
    </row>
    <row r="2" spans="1:10" ht="15.75">
      <c r="A2" s="324" t="s">
        <v>254</v>
      </c>
    </row>
    <row r="4" spans="1:10" ht="18.75">
      <c r="C4" s="153"/>
    </row>
    <row r="5" spans="1:10" ht="18.75">
      <c r="B5" s="85" t="s">
        <v>52</v>
      </c>
      <c r="C5" s="86"/>
      <c r="D5" s="87"/>
      <c r="E5" s="87"/>
    </row>
    <row r="6" spans="1:10" s="73" customFormat="1" ht="18.75">
      <c r="B6" s="71"/>
      <c r="C6" s="72"/>
      <c r="G6"/>
      <c r="H6"/>
      <c r="I6"/>
      <c r="J6"/>
    </row>
    <row r="7" spans="1:10" ht="15.75">
      <c r="B7" s="56">
        <f t="shared" ref="B7:B14" si="0">+ROW()</f>
        <v>7</v>
      </c>
      <c r="C7" s="58" t="s">
        <v>206</v>
      </c>
      <c r="D7" s="58"/>
      <c r="E7" s="58"/>
    </row>
    <row r="8" spans="1:10">
      <c r="B8" s="56">
        <f t="shared" si="0"/>
        <v>8</v>
      </c>
      <c r="E8" s="139" t="s">
        <v>164</v>
      </c>
    </row>
    <row r="9" spans="1:10">
      <c r="B9" s="56">
        <f t="shared" si="0"/>
        <v>9</v>
      </c>
      <c r="C9" s="55" t="s">
        <v>95</v>
      </c>
      <c r="E9" s="363" t="s">
        <v>199</v>
      </c>
    </row>
    <row r="10" spans="1:10">
      <c r="B10" s="56">
        <f t="shared" si="0"/>
        <v>10</v>
      </c>
      <c r="C10" s="55" t="s">
        <v>63</v>
      </c>
      <c r="E10" s="364">
        <v>152521990.88438737</v>
      </c>
    </row>
    <row r="11" spans="1:10">
      <c r="B11" s="56">
        <f t="shared" si="0"/>
        <v>11</v>
      </c>
      <c r="C11" s="84" t="s">
        <v>37</v>
      </c>
      <c r="D11" s="54">
        <f>+'Debt%, Conv Fctr'!$J$19</f>
        <v>0.21</v>
      </c>
      <c r="E11" s="365">
        <f>-E10*$D11</f>
        <v>-32029618.085721347</v>
      </c>
    </row>
    <row r="12" spans="1:10">
      <c r="B12" s="56">
        <f t="shared" si="0"/>
        <v>12</v>
      </c>
      <c r="C12" s="84" t="s">
        <v>41</v>
      </c>
      <c r="D12" s="57"/>
      <c r="E12" s="364">
        <f>-E10-E11</f>
        <v>-120492372.79866603</v>
      </c>
    </row>
    <row r="13" spans="1:10" ht="15.75" customHeight="1">
      <c r="B13" s="56">
        <f t="shared" si="0"/>
        <v>13</v>
      </c>
      <c r="C13" s="55" t="s">
        <v>39</v>
      </c>
      <c r="E13" s="73">
        <v>0.75322100000000003</v>
      </c>
    </row>
    <row r="14" spans="1:10" ht="15.75" thickBot="1">
      <c r="B14" s="56">
        <f t="shared" si="0"/>
        <v>14</v>
      </c>
      <c r="C14" s="55" t="s">
        <v>40</v>
      </c>
      <c r="E14" s="366">
        <f>-E12/E13</f>
        <v>159969481.46515569</v>
      </c>
    </row>
    <row r="15" spans="1:10" ht="15.75" thickTop="1">
      <c r="D15" s="322" t="s">
        <v>203</v>
      </c>
      <c r="E15" s="321">
        <v>0</v>
      </c>
    </row>
    <row r="16" spans="1:10" ht="18.75">
      <c r="B16" s="85" t="s">
        <v>53</v>
      </c>
      <c r="C16" s="87"/>
      <c r="D16" s="87"/>
      <c r="E16" s="87"/>
    </row>
    <row r="17" spans="2:10" s="73" customFormat="1" ht="18.75">
      <c r="B17" s="71"/>
      <c r="G17"/>
      <c r="H17"/>
      <c r="I17"/>
      <c r="J17"/>
    </row>
    <row r="18" spans="2:10" ht="15.75">
      <c r="B18" s="56">
        <f t="shared" ref="B18:B25" si="1">+ROW()</f>
        <v>18</v>
      </c>
      <c r="C18" s="58" t="s">
        <v>207</v>
      </c>
      <c r="D18" s="58"/>
      <c r="E18" s="58"/>
    </row>
    <row r="19" spans="2:10">
      <c r="B19" s="56">
        <f t="shared" si="1"/>
        <v>19</v>
      </c>
      <c r="E19" s="139" t="s">
        <v>165</v>
      </c>
    </row>
    <row r="20" spans="2:10">
      <c r="B20" s="56">
        <f t="shared" si="1"/>
        <v>20</v>
      </c>
      <c r="C20" s="55" t="s">
        <v>95</v>
      </c>
      <c r="E20" s="363" t="str">
        <f>+E9</f>
        <v>Jan-Sept 2023</v>
      </c>
    </row>
    <row r="21" spans="2:10">
      <c r="B21" s="56">
        <f t="shared" si="1"/>
        <v>21</v>
      </c>
      <c r="C21" s="55" t="s">
        <v>64</v>
      </c>
      <c r="E21" s="364">
        <v>-132038858.31701697</v>
      </c>
    </row>
    <row r="22" spans="2:10">
      <c r="B22" s="56">
        <f t="shared" si="1"/>
        <v>22</v>
      </c>
      <c r="C22" s="84" t="s">
        <v>37</v>
      </c>
      <c r="D22" s="54">
        <f>+'Debt%, Conv Fctr'!$J$19</f>
        <v>0.21</v>
      </c>
      <c r="E22" s="365">
        <f t="shared" ref="E22" si="2">-E21*$D22</f>
        <v>27728160.246573564</v>
      </c>
    </row>
    <row r="23" spans="2:10">
      <c r="B23" s="56">
        <f t="shared" si="1"/>
        <v>23</v>
      </c>
      <c r="C23" s="84" t="s">
        <v>41</v>
      </c>
      <c r="D23" s="57"/>
      <c r="E23" s="364">
        <f t="shared" ref="E23" si="3">-E21-E22</f>
        <v>104310698.07044341</v>
      </c>
    </row>
    <row r="24" spans="2:10">
      <c r="B24" s="56">
        <f t="shared" si="1"/>
        <v>24</v>
      </c>
      <c r="C24" s="55" t="s">
        <v>39</v>
      </c>
      <c r="E24" s="73">
        <v>0.75322100000000003</v>
      </c>
    </row>
    <row r="25" spans="2:10" ht="15.75" thickBot="1">
      <c r="B25" s="56">
        <f t="shared" si="1"/>
        <v>25</v>
      </c>
      <c r="C25" s="55" t="s">
        <v>40</v>
      </c>
      <c r="E25" s="366">
        <f t="shared" ref="E25" si="4">-E23/E24</f>
        <v>-138486178.78477022</v>
      </c>
    </row>
    <row r="26" spans="2:10" ht="15.75" thickTop="1">
      <c r="D26" s="322" t="s">
        <v>203</v>
      </c>
      <c r="E26" s="321">
        <v>0</v>
      </c>
    </row>
    <row r="27" spans="2:10" ht="18.75">
      <c r="B27" s="85" t="s">
        <v>61</v>
      </c>
      <c r="C27" s="87"/>
      <c r="D27" s="87"/>
      <c r="E27" s="87"/>
    </row>
    <row r="29" spans="2:10" ht="15.75">
      <c r="B29" s="56">
        <f t="shared" ref="B29:B36" si="5">+ROW()</f>
        <v>29</v>
      </c>
      <c r="C29" s="58" t="s">
        <v>194</v>
      </c>
      <c r="D29" s="58"/>
      <c r="E29" s="59"/>
    </row>
    <row r="30" spans="2:10">
      <c r="B30" s="56">
        <f t="shared" si="5"/>
        <v>30</v>
      </c>
      <c r="E30" s="139" t="s">
        <v>166</v>
      </c>
    </row>
    <row r="31" spans="2:10">
      <c r="B31" s="56">
        <f t="shared" si="5"/>
        <v>31</v>
      </c>
      <c r="C31" s="55" t="s">
        <v>95</v>
      </c>
      <c r="E31" s="363" t="str">
        <f>+E9</f>
        <v>Jan-Sept 2023</v>
      </c>
    </row>
    <row r="32" spans="2:10">
      <c r="B32" s="56">
        <f t="shared" si="5"/>
        <v>32</v>
      </c>
      <c r="C32" s="55" t="s">
        <v>60</v>
      </c>
      <c r="E32" s="364">
        <f>+E10+E21</f>
        <v>20483132.5673704</v>
      </c>
    </row>
    <row r="33" spans="2:5">
      <c r="B33" s="56">
        <f t="shared" si="5"/>
        <v>33</v>
      </c>
      <c r="C33" s="84" t="s">
        <v>37</v>
      </c>
      <c r="D33" s="54">
        <f>+'Debt%, Conv Fctr'!$J$19</f>
        <v>0.21</v>
      </c>
      <c r="E33" s="365">
        <f>-E32*$D33</f>
        <v>-4301457.8391477838</v>
      </c>
    </row>
    <row r="34" spans="2:5">
      <c r="B34" s="56">
        <f t="shared" si="5"/>
        <v>34</v>
      </c>
      <c r="C34" s="84" t="s">
        <v>41</v>
      </c>
      <c r="D34" s="57"/>
      <c r="E34" s="364">
        <f>-E32-E33</f>
        <v>-16181674.728222616</v>
      </c>
    </row>
    <row r="35" spans="2:5">
      <c r="B35" s="56">
        <f t="shared" si="5"/>
        <v>35</v>
      </c>
      <c r="C35" s="55" t="s">
        <v>39</v>
      </c>
      <c r="E35" s="73">
        <v>0.75322100000000003</v>
      </c>
    </row>
    <row r="36" spans="2:5" ht="15.75" thickBot="1">
      <c r="B36" s="56">
        <f t="shared" si="5"/>
        <v>36</v>
      </c>
      <c r="C36" s="55" t="s">
        <v>40</v>
      </c>
      <c r="E36" s="366">
        <f>-E34/E35</f>
        <v>21483302.680385459</v>
      </c>
    </row>
    <row r="37" spans="2:5" ht="15.75" thickTop="1">
      <c r="E37"/>
    </row>
    <row r="38" spans="2:5">
      <c r="E38"/>
    </row>
    <row r="39" spans="2:5">
      <c r="E39"/>
    </row>
    <row r="40" spans="2:5">
      <c r="E40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  <pageSetUpPr fitToPage="1"/>
  </sheetPr>
  <dimension ref="A1:W235"/>
  <sheetViews>
    <sheetView zoomScale="80" zoomScaleNormal="80" workbookViewId="0">
      <pane xSplit="2" ySplit="2" topLeftCell="C3" activePane="bottomRight" state="frozen"/>
      <selection activeCell="C73" sqref="C73"/>
      <selection pane="topRight" activeCell="C73" sqref="C73"/>
      <selection pane="bottomLeft" activeCell="C73" sqref="C73"/>
      <selection pane="bottomRight" activeCell="O29" sqref="O29"/>
    </sheetView>
  </sheetViews>
  <sheetFormatPr defaultRowHeight="15" outlineLevelRow="1"/>
  <cols>
    <col min="1" max="1" width="74.5703125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8" bestFit="1" customWidth="1"/>
    <col min="16" max="16" width="14.28515625" style="170" bestFit="1" customWidth="1"/>
    <col min="17" max="17" width="13" bestFit="1" customWidth="1"/>
    <col min="18" max="18" width="42.7109375" bestFit="1" customWidth="1"/>
    <col min="19" max="19" width="12.7109375" customWidth="1"/>
    <col min="20" max="20" width="12" bestFit="1" customWidth="1"/>
    <col min="21" max="21" width="14.5703125" customWidth="1"/>
    <col min="22" max="22" width="22" bestFit="1" customWidth="1"/>
    <col min="23" max="24" width="14.28515625" bestFit="1" customWidth="1"/>
    <col min="25" max="25" width="13" bestFit="1" customWidth="1"/>
  </cols>
  <sheetData>
    <row r="1" spans="1:22" s="1" customFormat="1">
      <c r="A1" s="5"/>
      <c r="C1" s="200" t="s">
        <v>103</v>
      </c>
      <c r="D1" s="200" t="s">
        <v>103</v>
      </c>
      <c r="E1" s="200" t="s">
        <v>103</v>
      </c>
      <c r="F1" s="200" t="s">
        <v>103</v>
      </c>
      <c r="G1" s="200" t="s">
        <v>103</v>
      </c>
      <c r="H1" s="200" t="s">
        <v>103</v>
      </c>
      <c r="I1" s="200" t="s">
        <v>103</v>
      </c>
      <c r="J1" s="201" t="s">
        <v>104</v>
      </c>
      <c r="K1" s="201" t="s">
        <v>104</v>
      </c>
      <c r="L1" s="201" t="s">
        <v>104</v>
      </c>
      <c r="M1" s="201" t="s">
        <v>104</v>
      </c>
      <c r="N1" s="238" t="s">
        <v>104</v>
      </c>
      <c r="O1" s="199"/>
      <c r="P1" s="202"/>
      <c r="Q1"/>
    </row>
    <row r="2" spans="1:22" ht="29.25" customHeight="1">
      <c r="A2" s="2" t="s">
        <v>4</v>
      </c>
      <c r="B2" s="74"/>
      <c r="C2" s="175">
        <v>44927</v>
      </c>
      <c r="D2" s="175">
        <v>44958</v>
      </c>
      <c r="E2" s="175">
        <v>44986</v>
      </c>
      <c r="F2" s="175">
        <v>45017</v>
      </c>
      <c r="G2" s="175">
        <v>45047</v>
      </c>
      <c r="H2" s="175">
        <v>45078</v>
      </c>
      <c r="I2" s="175">
        <v>45108</v>
      </c>
      <c r="J2" s="175">
        <v>45139</v>
      </c>
      <c r="K2" s="175">
        <v>45170</v>
      </c>
      <c r="L2" s="188">
        <v>45200</v>
      </c>
      <c r="M2" s="188">
        <v>45231</v>
      </c>
      <c r="N2" s="239">
        <v>45261</v>
      </c>
      <c r="O2" s="157" t="s">
        <v>3</v>
      </c>
      <c r="P2" s="174" t="s">
        <v>102</v>
      </c>
      <c r="R2" s="131"/>
    </row>
    <row r="3" spans="1:22">
      <c r="A3" s="3" t="s">
        <v>147</v>
      </c>
      <c r="B3" s="75" t="s">
        <v>54</v>
      </c>
      <c r="C3" s="176">
        <v>15469011.267930001</v>
      </c>
      <c r="D3" s="176">
        <v>14825493.11575</v>
      </c>
      <c r="E3" s="176">
        <v>14042775.10967</v>
      </c>
      <c r="F3" s="176">
        <v>10931361.79489</v>
      </c>
      <c r="G3" s="176">
        <v>6104132.17447</v>
      </c>
      <c r="H3" s="176">
        <v>5073825.1510500005</v>
      </c>
      <c r="I3" s="176">
        <v>4152975.5499500004</v>
      </c>
      <c r="J3" s="176">
        <v>4062524.9188100002</v>
      </c>
      <c r="K3" s="176">
        <v>5423643.43836</v>
      </c>
      <c r="L3" s="189">
        <v>8642280.8008200005</v>
      </c>
      <c r="M3" s="189">
        <v>12535701.699999999</v>
      </c>
      <c r="N3" s="189">
        <v>15522655.9</v>
      </c>
      <c r="O3" s="158">
        <f>SUM(C3:N3)</f>
        <v>116786380.92170002</v>
      </c>
      <c r="P3" s="173">
        <v>0</v>
      </c>
    </row>
    <row r="4" spans="1:22">
      <c r="A4" s="6" t="s">
        <v>97</v>
      </c>
      <c r="B4" s="75" t="s">
        <v>54</v>
      </c>
      <c r="C4" s="176">
        <v>-1343783.2964999999</v>
      </c>
      <c r="D4" s="176">
        <v>-1244076.7387999999</v>
      </c>
      <c r="E4" s="176">
        <v>-1360926.4214999999</v>
      </c>
      <c r="F4" s="176">
        <v>-1255656.5339000002</v>
      </c>
      <c r="G4" s="176">
        <v>-1009653.7856000001</v>
      </c>
      <c r="H4" s="176">
        <v>-925358.69380000001</v>
      </c>
      <c r="I4" s="176">
        <v>-800784.0556912407</v>
      </c>
      <c r="J4" s="176">
        <v>-947396.5628463875</v>
      </c>
      <c r="K4" s="176">
        <v>-964066.77671349817</v>
      </c>
      <c r="L4" s="189">
        <v>-982111.28486671066</v>
      </c>
      <c r="M4" s="189">
        <v>-1306406.8718225253</v>
      </c>
      <c r="N4" s="189">
        <v>-1431138.8416728021</v>
      </c>
      <c r="O4" s="158">
        <f>SUM(C4:N4)</f>
        <v>-13571359.863713164</v>
      </c>
      <c r="P4" s="173">
        <v>0</v>
      </c>
    </row>
    <row r="5" spans="1:22">
      <c r="A5" s="4" t="s">
        <v>0</v>
      </c>
      <c r="B5" s="75" t="s">
        <v>54</v>
      </c>
      <c r="C5" s="177">
        <f t="shared" ref="C5:N5" si="0">SUM(C3:C4)</f>
        <v>14125227.971430002</v>
      </c>
      <c r="D5" s="177">
        <f t="shared" si="0"/>
        <v>13581416.376949999</v>
      </c>
      <c r="E5" s="177">
        <f t="shared" si="0"/>
        <v>12681848.688170001</v>
      </c>
      <c r="F5" s="177">
        <f t="shared" si="0"/>
        <v>9675705.2609899994</v>
      </c>
      <c r="G5" s="177">
        <f t="shared" si="0"/>
        <v>5094478.3888699999</v>
      </c>
      <c r="H5" s="177">
        <f t="shared" si="0"/>
        <v>4148466.4572500004</v>
      </c>
      <c r="I5" s="177">
        <f t="shared" si="0"/>
        <v>3352191.4942587595</v>
      </c>
      <c r="J5" s="177">
        <f t="shared" si="0"/>
        <v>3115128.3559636129</v>
      </c>
      <c r="K5" s="177">
        <f t="shared" si="0"/>
        <v>4459576.6616465021</v>
      </c>
      <c r="L5" s="190">
        <f t="shared" si="0"/>
        <v>7660169.5159532893</v>
      </c>
      <c r="M5" s="190">
        <f t="shared" si="0"/>
        <v>11229294.828177474</v>
      </c>
      <c r="N5" s="190">
        <f t="shared" si="0"/>
        <v>14091517.058327198</v>
      </c>
      <c r="O5" s="159">
        <f>SUM(O3:O4)</f>
        <v>103215021.05798686</v>
      </c>
      <c r="P5" s="173">
        <v>0</v>
      </c>
    </row>
    <row r="6" spans="1:22">
      <c r="A6" s="138" t="s">
        <v>1</v>
      </c>
      <c r="B6" s="75" t="s">
        <v>55</v>
      </c>
      <c r="C6" s="177">
        <f t="shared" ref="C6:N6" si="1">+C5*C11</f>
        <v>-750258.65865691029</v>
      </c>
      <c r="D6" s="177">
        <f t="shared" si="1"/>
        <v>-721374.21457842388</v>
      </c>
      <c r="E6" s="177">
        <f t="shared" si="1"/>
        <v>-673593.85670241201</v>
      </c>
      <c r="F6" s="177">
        <f t="shared" si="1"/>
        <v>-513923.14979643165</v>
      </c>
      <c r="G6" s="177">
        <f t="shared" si="1"/>
        <v>-270592.2007291523</v>
      </c>
      <c r="H6" s="177">
        <f t="shared" si="1"/>
        <v>-220344.96618354233</v>
      </c>
      <c r="I6" s="177">
        <f t="shared" si="1"/>
        <v>-178050.98077925519</v>
      </c>
      <c r="J6" s="177">
        <f t="shared" si="1"/>
        <v>-165459.41960133612</v>
      </c>
      <c r="K6" s="177">
        <f t="shared" si="1"/>
        <v>-236869.52246802163</v>
      </c>
      <c r="L6" s="190">
        <f t="shared" si="1"/>
        <v>-406868.37180595577</v>
      </c>
      <c r="M6" s="190">
        <f t="shared" si="1"/>
        <v>-596441.74893968098</v>
      </c>
      <c r="N6" s="190">
        <f t="shared" si="1"/>
        <v>-748468.11024963751</v>
      </c>
      <c r="O6" s="159">
        <f>SUM(C6:N6)</f>
        <v>-5482245.2004907597</v>
      </c>
      <c r="P6" s="173">
        <v>0</v>
      </c>
    </row>
    <row r="7" spans="1:22">
      <c r="A7" s="5" t="s">
        <v>99</v>
      </c>
      <c r="B7" s="75" t="s">
        <v>55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1717157</v>
      </c>
      <c r="I7" s="176">
        <v>0</v>
      </c>
      <c r="J7" s="176">
        <v>0</v>
      </c>
      <c r="K7" s="176">
        <v>3189005.92</v>
      </c>
      <c r="L7" s="189">
        <v>0</v>
      </c>
      <c r="M7" s="189">
        <v>0</v>
      </c>
      <c r="N7" s="189">
        <v>0</v>
      </c>
      <c r="O7" s="158">
        <f>SUM(C7:N7)</f>
        <v>4906162.92</v>
      </c>
      <c r="P7" s="173">
        <v>0</v>
      </c>
      <c r="R7" s="136"/>
    </row>
    <row r="8" spans="1:22">
      <c r="A8" s="5" t="s">
        <v>212</v>
      </c>
      <c r="B8" s="75" t="s">
        <v>55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-1717157</v>
      </c>
      <c r="K8" s="176">
        <v>0</v>
      </c>
      <c r="L8" s="189">
        <v>0</v>
      </c>
      <c r="M8" s="189">
        <v>0</v>
      </c>
      <c r="N8" s="189">
        <v>-1471848.898</v>
      </c>
      <c r="O8" s="158">
        <f>SUM(C8:N8)</f>
        <v>-3189005.898</v>
      </c>
      <c r="P8" s="173">
        <v>0</v>
      </c>
      <c r="R8" s="326"/>
    </row>
    <row r="9" spans="1:22" s="1" customFormat="1">
      <c r="A9" s="5" t="s">
        <v>100</v>
      </c>
      <c r="B9" s="75" t="s">
        <v>55</v>
      </c>
      <c r="C9" s="176">
        <v>0</v>
      </c>
      <c r="D9" s="176">
        <v>0</v>
      </c>
      <c r="E9" s="176">
        <v>318000</v>
      </c>
      <c r="F9" s="176">
        <v>0</v>
      </c>
      <c r="G9" s="176">
        <v>0</v>
      </c>
      <c r="H9" s="176">
        <v>800000</v>
      </c>
      <c r="I9" s="176">
        <v>0</v>
      </c>
      <c r="J9" s="176">
        <v>0</v>
      </c>
      <c r="K9" s="176">
        <v>808640</v>
      </c>
      <c r="L9" s="189">
        <v>0</v>
      </c>
      <c r="M9" s="189">
        <v>0</v>
      </c>
      <c r="N9" s="189">
        <v>1020489</v>
      </c>
      <c r="O9" s="158">
        <f>SUM(C9:N9)</f>
        <v>2947129</v>
      </c>
      <c r="P9" s="173">
        <v>0</v>
      </c>
      <c r="Q9"/>
      <c r="R9"/>
      <c r="S9"/>
    </row>
    <row r="10" spans="1:22">
      <c r="A10" s="4" t="s">
        <v>2</v>
      </c>
      <c r="B10" s="75" t="s">
        <v>55</v>
      </c>
      <c r="C10" s="177">
        <f>SUM(C6:C9)</f>
        <v>-750258.65865691029</v>
      </c>
      <c r="D10" s="177">
        <f>SUM(D6:D9)+C10</f>
        <v>-1471632.8732353342</v>
      </c>
      <c r="E10" s="177">
        <f t="shared" ref="E10:I10" si="2">SUM(E6:E9)+D10</f>
        <v>-1827226.7299377462</v>
      </c>
      <c r="F10" s="177">
        <f t="shared" si="2"/>
        <v>-2341149.8797341781</v>
      </c>
      <c r="G10" s="177">
        <f t="shared" si="2"/>
        <v>-2611742.0804633303</v>
      </c>
      <c r="H10" s="177">
        <f t="shared" si="2"/>
        <v>-314930.04664687254</v>
      </c>
      <c r="I10" s="177">
        <f t="shared" si="2"/>
        <v>-492981.02742612769</v>
      </c>
      <c r="J10" s="177">
        <f t="shared" ref="J10" si="3">SUM(J6:J9)+I10</f>
        <v>-2375597.4470274639</v>
      </c>
      <c r="K10" s="177">
        <f t="shared" ref="K10:N10" si="4">SUM(K6:K9)+J10</f>
        <v>1385178.9505045144</v>
      </c>
      <c r="L10" s="190">
        <f t="shared" si="4"/>
        <v>978310.57869855862</v>
      </c>
      <c r="M10" s="190">
        <f t="shared" si="4"/>
        <v>381868.82975887763</v>
      </c>
      <c r="N10" s="190">
        <f t="shared" si="4"/>
        <v>-817959.17849076004</v>
      </c>
      <c r="O10" s="160">
        <f>SUM(O6:O9)</f>
        <v>-817959.1784907598</v>
      </c>
      <c r="P10" s="173">
        <v>9.3132257461547852E-10</v>
      </c>
      <c r="R10" s="133"/>
    </row>
    <row r="11" spans="1:22" ht="14.25" customHeight="1">
      <c r="B11" s="134"/>
      <c r="C11" s="178">
        <f>-'Emissions Rates'!F6</f>
        <v>-5.3114800000000004E-2</v>
      </c>
      <c r="D11" s="178">
        <f>C11</f>
        <v>-5.3114800000000004E-2</v>
      </c>
      <c r="E11" s="178">
        <f t="shared" ref="E11:N11" si="5">D11</f>
        <v>-5.3114800000000004E-2</v>
      </c>
      <c r="F11" s="178">
        <f t="shared" si="5"/>
        <v>-5.3114800000000004E-2</v>
      </c>
      <c r="G11" s="178">
        <f t="shared" si="5"/>
        <v>-5.3114800000000004E-2</v>
      </c>
      <c r="H11" s="178">
        <f t="shared" si="5"/>
        <v>-5.3114800000000004E-2</v>
      </c>
      <c r="I11" s="178">
        <f t="shared" si="5"/>
        <v>-5.3114800000000004E-2</v>
      </c>
      <c r="J11" s="178">
        <f t="shared" si="5"/>
        <v>-5.3114800000000004E-2</v>
      </c>
      <c r="K11" s="178">
        <f t="shared" si="5"/>
        <v>-5.3114800000000004E-2</v>
      </c>
      <c r="L11" s="191">
        <f t="shared" si="5"/>
        <v>-5.3114800000000004E-2</v>
      </c>
      <c r="M11" s="191">
        <f t="shared" si="5"/>
        <v>-5.3114800000000004E-2</v>
      </c>
      <c r="N11" s="191">
        <f t="shared" si="5"/>
        <v>-5.3114800000000004E-2</v>
      </c>
      <c r="O11" s="161"/>
      <c r="P11" s="171"/>
      <c r="R11" s="327"/>
    </row>
    <row r="12" spans="1:22" s="1" customFormat="1" ht="18.75">
      <c r="A12" s="235" t="s">
        <v>98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7"/>
      <c r="M12" s="237"/>
      <c r="N12" s="236"/>
      <c r="O12" s="236"/>
      <c r="P12" s="172"/>
      <c r="Q12" s="345" t="s">
        <v>68</v>
      </c>
      <c r="R12" s="329"/>
      <c r="S12" s="329"/>
      <c r="T12" s="329"/>
      <c r="U12" s="329"/>
    </row>
    <row r="13" spans="1:22">
      <c r="A13" s="76" t="s">
        <v>57</v>
      </c>
      <c r="B13" s="74"/>
      <c r="C13" s="179"/>
      <c r="D13" s="179"/>
      <c r="E13" s="179"/>
      <c r="F13" s="179"/>
      <c r="G13" s="179"/>
      <c r="H13" s="179"/>
      <c r="I13" s="179"/>
      <c r="J13" s="179"/>
      <c r="K13" s="179"/>
      <c r="L13" s="192"/>
      <c r="M13" s="192"/>
      <c r="N13" s="198"/>
      <c r="O13" s="162"/>
      <c r="P13" s="171"/>
      <c r="Q13" s="344" t="s">
        <v>215</v>
      </c>
      <c r="R13" s="330" t="s">
        <v>216</v>
      </c>
      <c r="S13" s="330" t="s">
        <v>217</v>
      </c>
      <c r="T13" s="331" t="s">
        <v>218</v>
      </c>
      <c r="U13" s="332" t="s">
        <v>230</v>
      </c>
      <c r="V13" s="1"/>
    </row>
    <row r="14" spans="1:22">
      <c r="A14" s="5" t="s">
        <v>1</v>
      </c>
      <c r="B14" s="75" t="s">
        <v>55</v>
      </c>
      <c r="C14" s="180">
        <f t="shared" ref="C14:N14" si="6">+C6</f>
        <v>-750258.65865691029</v>
      </c>
      <c r="D14" s="180">
        <f t="shared" si="6"/>
        <v>-721374.21457842388</v>
      </c>
      <c r="E14" s="180">
        <f t="shared" si="6"/>
        <v>-673593.85670241201</v>
      </c>
      <c r="F14" s="180">
        <f t="shared" si="6"/>
        <v>-513923.14979643165</v>
      </c>
      <c r="G14" s="180">
        <f t="shared" si="6"/>
        <v>-270592.2007291523</v>
      </c>
      <c r="H14" s="180">
        <f t="shared" si="6"/>
        <v>-220344.96618354233</v>
      </c>
      <c r="I14" s="180">
        <f t="shared" si="6"/>
        <v>-178050.98077925519</v>
      </c>
      <c r="J14" s="180">
        <f t="shared" si="6"/>
        <v>-165459.41960133612</v>
      </c>
      <c r="K14" s="180">
        <f t="shared" si="6"/>
        <v>-236869.52246802163</v>
      </c>
      <c r="L14" s="193">
        <f t="shared" si="6"/>
        <v>-406868.37180595577</v>
      </c>
      <c r="M14" s="193">
        <f t="shared" si="6"/>
        <v>-596441.74893968098</v>
      </c>
      <c r="N14" s="193">
        <f t="shared" si="6"/>
        <v>-748468.11024963751</v>
      </c>
      <c r="O14" s="158">
        <f>SUM(C14:N14)</f>
        <v>-5482245.2004907597</v>
      </c>
      <c r="P14" s="328"/>
      <c r="Q14" s="338"/>
      <c r="R14" s="338"/>
      <c r="S14" s="338"/>
      <c r="T14" s="338"/>
      <c r="U14" s="338"/>
    </row>
    <row r="15" spans="1:22" outlineLevel="1">
      <c r="A15" s="5" t="s">
        <v>101</v>
      </c>
      <c r="B15" s="75" t="s">
        <v>55</v>
      </c>
      <c r="C15" s="176">
        <f t="shared" ref="C15:N15" si="7">+C14/$O$14*$O$7</f>
        <v>671420.39016824053</v>
      </c>
      <c r="D15" s="176">
        <f t="shared" si="7"/>
        <v>645571.16538529983</v>
      </c>
      <c r="E15" s="176">
        <f t="shared" si="7"/>
        <v>602811.63684494293</v>
      </c>
      <c r="F15" s="176">
        <f t="shared" si="7"/>
        <v>459919.35950532614</v>
      </c>
      <c r="G15" s="176">
        <f t="shared" si="7"/>
        <v>242157.97964303431</v>
      </c>
      <c r="H15" s="176">
        <f t="shared" si="7"/>
        <v>197190.79741299711</v>
      </c>
      <c r="I15" s="176">
        <f t="shared" si="7"/>
        <v>159341.12536422419</v>
      </c>
      <c r="J15" s="176">
        <f t="shared" si="7"/>
        <v>148072.70370543227</v>
      </c>
      <c r="K15" s="176">
        <f t="shared" si="7"/>
        <v>211978.92934571474</v>
      </c>
      <c r="L15" s="189">
        <f t="shared" si="7"/>
        <v>364114.05292424007</v>
      </c>
      <c r="M15" s="189">
        <f t="shared" si="7"/>
        <v>533766.78451482998</v>
      </c>
      <c r="N15" s="189">
        <f t="shared" si="7"/>
        <v>669817.99518571771</v>
      </c>
      <c r="O15" s="158">
        <f>SUM(C15:N15)</f>
        <v>4906162.92</v>
      </c>
      <c r="P15" s="171"/>
      <c r="Q15" t="s">
        <v>231</v>
      </c>
    </row>
    <row r="16" spans="1:22" outlineLevel="1">
      <c r="A16" s="5" t="s">
        <v>193</v>
      </c>
      <c r="B16" s="75"/>
      <c r="C16" s="305">
        <v>0.35</v>
      </c>
      <c r="D16" s="305">
        <v>0.35</v>
      </c>
      <c r="E16" s="305">
        <v>0.35</v>
      </c>
      <c r="F16" s="305">
        <v>0.35</v>
      </c>
      <c r="G16" s="305">
        <v>0.35</v>
      </c>
      <c r="H16" s="305">
        <v>0.35</v>
      </c>
      <c r="I16" s="305">
        <v>0.35</v>
      </c>
      <c r="J16" s="305">
        <v>0.35</v>
      </c>
      <c r="K16" s="305">
        <v>0.35</v>
      </c>
      <c r="L16" s="306">
        <v>0.35</v>
      </c>
      <c r="M16" s="306">
        <v>0.35</v>
      </c>
      <c r="N16" s="306">
        <v>0.35</v>
      </c>
      <c r="O16" s="307">
        <v>0.35</v>
      </c>
      <c r="P16" s="171"/>
      <c r="Q16" s="343">
        <f>ROW()</f>
        <v>16</v>
      </c>
      <c r="R16" s="338" t="s">
        <v>219</v>
      </c>
      <c r="S16" s="337">
        <f>+E20</f>
        <v>318000</v>
      </c>
      <c r="T16" s="340">
        <f>+E26</f>
        <v>48.5</v>
      </c>
      <c r="U16" s="339">
        <f>+S16*T16</f>
        <v>15423000</v>
      </c>
    </row>
    <row r="17" spans="1:21">
      <c r="A17" t="s">
        <v>192</v>
      </c>
      <c r="B17" s="75" t="s">
        <v>55</v>
      </c>
      <c r="C17" s="176">
        <f>+C15*C16</f>
        <v>234997.13655888417</v>
      </c>
      <c r="D17" s="176">
        <f t="shared" ref="D17:N17" si="8">+D15*D16</f>
        <v>225949.90788485494</v>
      </c>
      <c r="E17" s="176">
        <f t="shared" si="8"/>
        <v>210984.07289573</v>
      </c>
      <c r="F17" s="176">
        <f t="shared" si="8"/>
        <v>160971.77582686415</v>
      </c>
      <c r="G17" s="176">
        <f t="shared" si="8"/>
        <v>84755.292875062005</v>
      </c>
      <c r="H17" s="176">
        <f t="shared" si="8"/>
        <v>69016.779094548983</v>
      </c>
      <c r="I17" s="176">
        <f t="shared" si="8"/>
        <v>55769.393877478462</v>
      </c>
      <c r="J17" s="176">
        <f t="shared" si="8"/>
        <v>51825.446296901289</v>
      </c>
      <c r="K17" s="176">
        <f t="shared" si="8"/>
        <v>74192.625271000157</v>
      </c>
      <c r="L17" s="189">
        <f t="shared" si="8"/>
        <v>127439.91852348401</v>
      </c>
      <c r="M17" s="189">
        <f t="shared" si="8"/>
        <v>186818.37458019049</v>
      </c>
      <c r="N17" s="308">
        <f t="shared" si="8"/>
        <v>234436.29831500119</v>
      </c>
      <c r="O17" s="158">
        <f>+O15*O16</f>
        <v>1717157.0219999999</v>
      </c>
      <c r="Q17" s="342">
        <f>ROW()</f>
        <v>17</v>
      </c>
      <c r="R17" t="s">
        <v>220</v>
      </c>
      <c r="S17" s="7">
        <f>+H20</f>
        <v>800000</v>
      </c>
      <c r="T17" s="335">
        <f>+H26</f>
        <v>56.01</v>
      </c>
      <c r="U17" s="326">
        <f t="shared" ref="U17:U20" si="9">+S17*T17</f>
        <v>44808000</v>
      </c>
    </row>
    <row r="18" spans="1:21">
      <c r="A18" t="s">
        <v>91</v>
      </c>
      <c r="B18" s="75" t="s">
        <v>55</v>
      </c>
      <c r="C18" s="177">
        <f t="shared" ref="C18:N18" si="10">+C14+C17</f>
        <v>-515261.52209802612</v>
      </c>
      <c r="D18" s="177">
        <f t="shared" si="10"/>
        <v>-495424.30669356894</v>
      </c>
      <c r="E18" s="177">
        <f t="shared" si="10"/>
        <v>-462609.78380668198</v>
      </c>
      <c r="F18" s="177">
        <f t="shared" si="10"/>
        <v>-352951.37396956747</v>
      </c>
      <c r="G18" s="177">
        <f t="shared" si="10"/>
        <v>-185836.9078540903</v>
      </c>
      <c r="H18" s="177">
        <f t="shared" si="10"/>
        <v>-151328.18708899335</v>
      </c>
      <c r="I18" s="177">
        <f t="shared" si="10"/>
        <v>-122281.58690177673</v>
      </c>
      <c r="J18" s="177">
        <f t="shared" si="10"/>
        <v>-113633.97330443482</v>
      </c>
      <c r="K18" s="177">
        <f t="shared" si="10"/>
        <v>-162676.89719702146</v>
      </c>
      <c r="L18" s="190">
        <f t="shared" si="10"/>
        <v>-279428.45328247175</v>
      </c>
      <c r="M18" s="190">
        <f t="shared" si="10"/>
        <v>-409623.37435949047</v>
      </c>
      <c r="N18" s="189">
        <f t="shared" si="10"/>
        <v>-514031.81193463632</v>
      </c>
      <c r="O18" s="159">
        <f>+O14+O17</f>
        <v>-3765088.1784907598</v>
      </c>
      <c r="P18" s="171"/>
      <c r="Q18" s="342">
        <f>ROW()</f>
        <v>18</v>
      </c>
      <c r="R18" t="s">
        <v>225</v>
      </c>
      <c r="S18" s="7">
        <f>+K21</f>
        <v>20640</v>
      </c>
      <c r="T18" s="335">
        <f>+K27</f>
        <v>51.9</v>
      </c>
      <c r="U18" s="326">
        <f t="shared" si="9"/>
        <v>1071216</v>
      </c>
    </row>
    <row r="19" spans="1:21">
      <c r="A19" s="5"/>
      <c r="B19" s="74"/>
      <c r="C19" s="180"/>
      <c r="D19" s="180"/>
      <c r="E19" s="180"/>
      <c r="F19" s="180"/>
      <c r="G19" s="180"/>
      <c r="H19" s="180"/>
      <c r="I19" s="180"/>
      <c r="J19" s="180"/>
      <c r="K19" s="180"/>
      <c r="L19" s="193"/>
      <c r="M19" s="193"/>
      <c r="N19" s="193"/>
      <c r="O19" s="163"/>
      <c r="P19" s="171"/>
      <c r="Q19" s="342">
        <f>ROW()</f>
        <v>19</v>
      </c>
      <c r="R19" t="s">
        <v>222</v>
      </c>
      <c r="S19" s="7">
        <f>+K20</f>
        <v>788000</v>
      </c>
      <c r="T19" s="335">
        <f>+K26</f>
        <v>63.03</v>
      </c>
      <c r="U19" s="326">
        <f t="shared" si="9"/>
        <v>49667640</v>
      </c>
    </row>
    <row r="20" spans="1:21">
      <c r="A20" s="5" t="s">
        <v>148</v>
      </c>
      <c r="B20" s="75" t="s">
        <v>55</v>
      </c>
      <c r="C20" s="180"/>
      <c r="D20" s="180"/>
      <c r="E20" s="180">
        <f>+E9</f>
        <v>318000</v>
      </c>
      <c r="F20" s="180"/>
      <c r="G20" s="176"/>
      <c r="H20" s="180">
        <f>+H9</f>
        <v>800000</v>
      </c>
      <c r="I20" s="176"/>
      <c r="J20" s="176"/>
      <c r="K20" s="180">
        <f>K9-K21</f>
        <v>788000</v>
      </c>
      <c r="L20" s="189"/>
      <c r="M20" s="189"/>
      <c r="N20" s="189">
        <f>+'Purch Volumes 2023 (R)'!D33</f>
        <v>0</v>
      </c>
      <c r="O20" s="158">
        <f>SUM(C20:N20)</f>
        <v>1906000</v>
      </c>
      <c r="P20" s="171"/>
      <c r="Q20" s="342">
        <f>ROW()</f>
        <v>20</v>
      </c>
      <c r="R20" t="s">
        <v>226</v>
      </c>
      <c r="S20" s="7">
        <f>SUM(C22:K22)</f>
        <v>635364.53891416127</v>
      </c>
      <c r="T20" s="335">
        <f>+N28</f>
        <v>0</v>
      </c>
      <c r="U20" s="326">
        <f t="shared" si="9"/>
        <v>0</v>
      </c>
    </row>
    <row r="21" spans="1:21">
      <c r="A21" s="5" t="s">
        <v>195</v>
      </c>
      <c r="B21" s="75" t="s">
        <v>55</v>
      </c>
      <c r="C21" s="180"/>
      <c r="D21" s="180"/>
      <c r="E21" s="180"/>
      <c r="F21" s="180"/>
      <c r="G21" s="176"/>
      <c r="H21" s="180"/>
      <c r="I21" s="176"/>
      <c r="J21" s="176"/>
      <c r="K21" s="180">
        <v>20640</v>
      </c>
      <c r="L21" s="189"/>
      <c r="M21" s="189"/>
      <c r="N21" s="189"/>
      <c r="O21" s="158">
        <f>SUM(C21:N21)</f>
        <v>20640</v>
      </c>
      <c r="P21" s="171"/>
      <c r="Q21" s="342">
        <f>ROW()</f>
        <v>21</v>
      </c>
      <c r="R21" s="350" t="s">
        <v>221</v>
      </c>
      <c r="S21" s="351">
        <f>SUM(S16:S20)</f>
        <v>2562004.5389141613</v>
      </c>
      <c r="T21" s="352">
        <f>+U21/S21</f>
        <v>43.313684388331204</v>
      </c>
      <c r="U21" s="353">
        <f>SUM(U16:U20)</f>
        <v>110969856</v>
      </c>
    </row>
    <row r="22" spans="1:21">
      <c r="A22" s="5" t="s">
        <v>157</v>
      </c>
      <c r="B22" s="75" t="s">
        <v>55</v>
      </c>
      <c r="C22" s="176">
        <f>-C18-C20-C21</f>
        <v>515261.52209802612</v>
      </c>
      <c r="D22" s="176">
        <f t="shared" ref="D22:J22" si="11">-D18-D20-D21</f>
        <v>495424.30669356894</v>
      </c>
      <c r="E22" s="176">
        <f t="shared" si="11"/>
        <v>144609.78380668198</v>
      </c>
      <c r="F22" s="176">
        <f t="shared" si="11"/>
        <v>352951.37396956747</v>
      </c>
      <c r="G22" s="176">
        <f t="shared" si="11"/>
        <v>185836.9078540903</v>
      </c>
      <c r="H22" s="176">
        <f t="shared" si="11"/>
        <v>-648671.81291100662</v>
      </c>
      <c r="I22" s="176">
        <f t="shared" si="11"/>
        <v>122281.58690177673</v>
      </c>
      <c r="J22" s="176">
        <f t="shared" si="11"/>
        <v>113633.97330443482</v>
      </c>
      <c r="K22" s="176">
        <f>-K18-K20-K21</f>
        <v>-645963.1028029786</v>
      </c>
      <c r="L22" s="189">
        <f>-L18-L20-L21</f>
        <v>279428.45328247175</v>
      </c>
      <c r="M22" s="189">
        <f t="shared" ref="M22:N22" si="12">-M18-M20-M21</f>
        <v>409623.37435949047</v>
      </c>
      <c r="N22" s="189">
        <f t="shared" si="12"/>
        <v>514031.81193463632</v>
      </c>
      <c r="O22" s="158">
        <f>SUM(C22:N22)</f>
        <v>1838448.1784907598</v>
      </c>
      <c r="P22" s="171"/>
      <c r="Q22" s="342">
        <f>ROW()</f>
        <v>22</v>
      </c>
    </row>
    <row r="23" spans="1:21">
      <c r="A23" s="3" t="s">
        <v>146</v>
      </c>
      <c r="B23" s="75" t="s">
        <v>55</v>
      </c>
      <c r="C23" s="228">
        <f t="shared" ref="C23:N23" si="13">SUM(C20:C22)</f>
        <v>515261.52209802612</v>
      </c>
      <c r="D23" s="228">
        <f t="shared" si="13"/>
        <v>495424.30669356894</v>
      </c>
      <c r="E23" s="228">
        <f t="shared" si="13"/>
        <v>462609.78380668198</v>
      </c>
      <c r="F23" s="228">
        <f t="shared" si="13"/>
        <v>352951.37396956747</v>
      </c>
      <c r="G23" s="228">
        <f t="shared" si="13"/>
        <v>185836.9078540903</v>
      </c>
      <c r="H23" s="228">
        <f t="shared" si="13"/>
        <v>151328.18708899338</v>
      </c>
      <c r="I23" s="228">
        <f t="shared" si="13"/>
        <v>122281.58690177673</v>
      </c>
      <c r="J23" s="228">
        <f t="shared" si="13"/>
        <v>113633.97330443482</v>
      </c>
      <c r="K23" s="228">
        <f t="shared" si="13"/>
        <v>162676.8971970214</v>
      </c>
      <c r="L23" s="229">
        <f t="shared" si="13"/>
        <v>279428.45328247175</v>
      </c>
      <c r="M23" s="229">
        <f t="shared" si="13"/>
        <v>409623.37435949047</v>
      </c>
      <c r="N23" s="229">
        <f t="shared" si="13"/>
        <v>514031.81193463632</v>
      </c>
      <c r="O23" s="159">
        <f>SUM(O20:O22)</f>
        <v>3765088.1784907598</v>
      </c>
      <c r="P23" s="171"/>
      <c r="Q23" s="342">
        <f>ROW()</f>
        <v>23</v>
      </c>
      <c r="R23" t="s">
        <v>223</v>
      </c>
      <c r="S23" s="7">
        <f>+N20</f>
        <v>0</v>
      </c>
      <c r="T23" s="335">
        <f>+N26</f>
        <v>0</v>
      </c>
      <c r="U23" s="326">
        <f t="shared" ref="U23:U24" si="14">+S23*T23</f>
        <v>0</v>
      </c>
    </row>
    <row r="24" spans="1:21">
      <c r="B24" s="234" t="s">
        <v>115</v>
      </c>
      <c r="C24" s="232">
        <f t="shared" ref="C24:N24" si="15">+C23+C18</f>
        <v>0</v>
      </c>
      <c r="D24" s="232">
        <f t="shared" si="15"/>
        <v>0</v>
      </c>
      <c r="E24" s="232">
        <f t="shared" si="15"/>
        <v>0</v>
      </c>
      <c r="F24" s="232">
        <f t="shared" si="15"/>
        <v>0</v>
      </c>
      <c r="G24" s="232">
        <f t="shared" si="15"/>
        <v>0</v>
      </c>
      <c r="H24" s="232">
        <f t="shared" si="15"/>
        <v>0</v>
      </c>
      <c r="I24" s="232">
        <f t="shared" si="15"/>
        <v>0</v>
      </c>
      <c r="J24" s="232">
        <f t="shared" si="15"/>
        <v>0</v>
      </c>
      <c r="K24" s="232">
        <f t="shared" si="15"/>
        <v>0</v>
      </c>
      <c r="L24" s="233">
        <f t="shared" si="15"/>
        <v>0</v>
      </c>
      <c r="M24" s="233">
        <f t="shared" si="15"/>
        <v>0</v>
      </c>
      <c r="N24" s="233">
        <f t="shared" si="15"/>
        <v>0</v>
      </c>
      <c r="O24" s="231">
        <f>+O23+O18</f>
        <v>0</v>
      </c>
      <c r="P24" s="171"/>
      <c r="Q24" s="342">
        <f>ROW()</f>
        <v>24</v>
      </c>
      <c r="R24" t="s">
        <v>226</v>
      </c>
      <c r="S24" s="7">
        <f>SUM(L22:N22)</f>
        <v>1203083.6395765985</v>
      </c>
      <c r="T24" s="335">
        <f>+N28</f>
        <v>0</v>
      </c>
      <c r="U24" s="326">
        <f t="shared" si="14"/>
        <v>0</v>
      </c>
    </row>
    <row r="25" spans="1:21">
      <c r="B25" s="234"/>
      <c r="C25" s="232"/>
      <c r="D25" s="232"/>
      <c r="E25" s="232"/>
      <c r="F25" s="232"/>
      <c r="G25" s="232"/>
      <c r="H25" s="232"/>
      <c r="I25" s="232"/>
      <c r="J25" s="232"/>
      <c r="K25" s="232"/>
      <c r="L25" s="233"/>
      <c r="M25" s="233"/>
      <c r="N25" s="233"/>
      <c r="O25" s="230"/>
      <c r="P25" s="171"/>
      <c r="Q25" s="342">
        <f>ROW()</f>
        <v>25</v>
      </c>
      <c r="R25" t="s">
        <v>227</v>
      </c>
      <c r="S25" s="337">
        <f t="shared" ref="S25" si="16">SUM(S23:S24)</f>
        <v>1203083.6395765985</v>
      </c>
      <c r="T25" s="340">
        <f>+U25/S25</f>
        <v>0</v>
      </c>
      <c r="U25" s="339">
        <f>SUM(U23:U24)</f>
        <v>0</v>
      </c>
    </row>
    <row r="26" spans="1:21">
      <c r="A26" s="3" t="s">
        <v>149</v>
      </c>
      <c r="B26" s="74" t="s">
        <v>62</v>
      </c>
      <c r="C26" s="181"/>
      <c r="D26" s="181"/>
      <c r="E26" s="181">
        <f>+'Dec 23 Daily Settle Price (R)'!H106</f>
        <v>48.5</v>
      </c>
      <c r="F26" s="181"/>
      <c r="G26" s="182"/>
      <c r="H26" s="181">
        <f>+'Dec 23 Daily Settle Price (R)'!H107</f>
        <v>56.01</v>
      </c>
      <c r="I26" s="181"/>
      <c r="J26" s="181"/>
      <c r="K26" s="181">
        <f>+'Dec 23 Daily Settle Price (R)'!H109</f>
        <v>63.03</v>
      </c>
      <c r="L26" s="194"/>
      <c r="M26" s="194"/>
      <c r="N26" s="194">
        <f>'NEX_EOD_ENVIRON_FUTURES (R)'!D8</f>
        <v>0</v>
      </c>
      <c r="O26" s="164"/>
      <c r="P26" s="171"/>
      <c r="Q26" s="342">
        <f>ROW()</f>
        <v>26</v>
      </c>
      <c r="T26" s="335"/>
    </row>
    <row r="27" spans="1:21">
      <c r="A27" s="3" t="s">
        <v>196</v>
      </c>
      <c r="B27" s="74" t="s">
        <v>62</v>
      </c>
      <c r="C27" s="181"/>
      <c r="D27" s="181"/>
      <c r="E27" s="181"/>
      <c r="F27" s="181"/>
      <c r="G27" s="182"/>
      <c r="H27" s="181"/>
      <c r="I27" s="181"/>
      <c r="J27" s="181"/>
      <c r="K27" s="181">
        <f>'Dec 23 Daily Settle Price (R)'!H108</f>
        <v>51.9</v>
      </c>
      <c r="L27" s="194"/>
      <c r="M27" s="194"/>
      <c r="N27" s="194"/>
      <c r="O27" s="164"/>
      <c r="P27" s="171"/>
      <c r="Q27" s="342">
        <f>ROW()</f>
        <v>27</v>
      </c>
      <c r="R27" t="s">
        <v>224</v>
      </c>
      <c r="S27" s="7">
        <f>+S25+S21</f>
        <v>3765088.1784907598</v>
      </c>
      <c r="T27" s="335">
        <f>+U27/S27</f>
        <v>29.473375055051804</v>
      </c>
      <c r="U27" s="326">
        <f>+U25+U21</f>
        <v>110969856</v>
      </c>
    </row>
    <row r="28" spans="1:21">
      <c r="A28" s="3" t="s">
        <v>150</v>
      </c>
      <c r="B28" s="74" t="s">
        <v>62</v>
      </c>
      <c r="C28" s="183">
        <f t="shared" ref="C28:L28" si="17">D28</f>
        <v>0</v>
      </c>
      <c r="D28" s="183">
        <f t="shared" si="17"/>
        <v>0</v>
      </c>
      <c r="E28" s="183">
        <f t="shared" si="17"/>
        <v>0</v>
      </c>
      <c r="F28" s="183">
        <f t="shared" si="17"/>
        <v>0</v>
      </c>
      <c r="G28" s="183">
        <f t="shared" si="17"/>
        <v>0</v>
      </c>
      <c r="H28" s="183">
        <f t="shared" si="17"/>
        <v>0</v>
      </c>
      <c r="I28" s="183">
        <f t="shared" si="17"/>
        <v>0</v>
      </c>
      <c r="J28" s="183">
        <f t="shared" si="17"/>
        <v>0</v>
      </c>
      <c r="K28" s="183">
        <f t="shared" si="17"/>
        <v>0</v>
      </c>
      <c r="L28" s="195">
        <f t="shared" si="17"/>
        <v>0</v>
      </c>
      <c r="M28" s="195">
        <f>N28</f>
        <v>0</v>
      </c>
      <c r="N28" s="346">
        <f>+'Dec 23 Daily Settle Price (R)'!$B$196</f>
        <v>0</v>
      </c>
      <c r="O28" s="165"/>
      <c r="P28" s="171"/>
      <c r="Q28" s="342">
        <f>ROW()</f>
        <v>28</v>
      </c>
      <c r="R28" s="334" t="s">
        <v>115</v>
      </c>
      <c r="S28" s="333">
        <f>+O18+S27</f>
        <v>0</v>
      </c>
      <c r="T28" s="334" t="s">
        <v>233</v>
      </c>
      <c r="U28" s="341">
        <f>+O32-U27</f>
        <v>0</v>
      </c>
    </row>
    <row r="29" spans="1:21">
      <c r="A29" s="3" t="s">
        <v>151</v>
      </c>
      <c r="B29" s="74" t="s">
        <v>56</v>
      </c>
      <c r="C29" s="217">
        <f t="shared" ref="C29:J29" si="18">+C20*C26</f>
        <v>0</v>
      </c>
      <c r="D29" s="217">
        <f t="shared" si="18"/>
        <v>0</v>
      </c>
      <c r="E29" s="217">
        <f t="shared" si="18"/>
        <v>15423000</v>
      </c>
      <c r="F29" s="217">
        <f t="shared" si="18"/>
        <v>0</v>
      </c>
      <c r="G29" s="217">
        <f t="shared" si="18"/>
        <v>0</v>
      </c>
      <c r="H29" s="217">
        <f t="shared" si="18"/>
        <v>44808000</v>
      </c>
      <c r="I29" s="217">
        <f t="shared" si="18"/>
        <v>0</v>
      </c>
      <c r="J29" s="217">
        <f t="shared" si="18"/>
        <v>0</v>
      </c>
      <c r="K29" s="217">
        <f>+K20*K26</f>
        <v>49667640</v>
      </c>
      <c r="L29" s="218">
        <f t="shared" ref="L29:N29" si="19">+L20*L26</f>
        <v>0</v>
      </c>
      <c r="M29" s="218">
        <f t="shared" si="19"/>
        <v>0</v>
      </c>
      <c r="N29" s="218">
        <f t="shared" si="19"/>
        <v>0</v>
      </c>
      <c r="O29" s="216">
        <f>SUM(C29:N29)</f>
        <v>109898640</v>
      </c>
      <c r="P29" s="171"/>
      <c r="Q29" s="342">
        <f>ROW()</f>
        <v>29</v>
      </c>
    </row>
    <row r="30" spans="1:21">
      <c r="A30" s="3" t="s">
        <v>197</v>
      </c>
      <c r="B30" s="74" t="s">
        <v>56</v>
      </c>
      <c r="C30" s="217">
        <f t="shared" ref="C30:J30" si="20">C27*C21</f>
        <v>0</v>
      </c>
      <c r="D30" s="217">
        <f t="shared" si="20"/>
        <v>0</v>
      </c>
      <c r="E30" s="217">
        <f t="shared" si="20"/>
        <v>0</v>
      </c>
      <c r="F30" s="217">
        <f t="shared" si="20"/>
        <v>0</v>
      </c>
      <c r="G30" s="217">
        <f t="shared" si="20"/>
        <v>0</v>
      </c>
      <c r="H30" s="217">
        <f t="shared" si="20"/>
        <v>0</v>
      </c>
      <c r="I30" s="217">
        <f t="shared" si="20"/>
        <v>0</v>
      </c>
      <c r="J30" s="217">
        <f t="shared" si="20"/>
        <v>0</v>
      </c>
      <c r="K30" s="217">
        <f>K27*K21</f>
        <v>1071216</v>
      </c>
      <c r="L30" s="218"/>
      <c r="M30" s="218"/>
      <c r="N30" s="218"/>
      <c r="O30" s="216">
        <f>SUM(C30:N30)</f>
        <v>1071216</v>
      </c>
      <c r="P30" s="171"/>
      <c r="Q30" s="342">
        <f>ROW()</f>
        <v>30</v>
      </c>
      <c r="R30" t="s">
        <v>228</v>
      </c>
      <c r="S30" s="7">
        <f>SUM(S16:S19,S23)</f>
        <v>1926640</v>
      </c>
      <c r="T30" s="335">
        <f>SUM(U16:U19,U23)/SUM(S16:S19,S23)</f>
        <v>57.597608271394762</v>
      </c>
      <c r="U30" s="326">
        <f>+S30*T30</f>
        <v>110969856</v>
      </c>
    </row>
    <row r="31" spans="1:21">
      <c r="A31" s="3" t="s">
        <v>152</v>
      </c>
      <c r="B31" s="74" t="s">
        <v>56</v>
      </c>
      <c r="C31" s="184">
        <f>C22*C28</f>
        <v>0</v>
      </c>
      <c r="D31" s="184">
        <f t="shared" ref="D31:N31" si="21">D22*D28</f>
        <v>0</v>
      </c>
      <c r="E31" s="184">
        <f t="shared" si="21"/>
        <v>0</v>
      </c>
      <c r="F31" s="184">
        <f t="shared" si="21"/>
        <v>0</v>
      </c>
      <c r="G31" s="184">
        <f t="shared" si="21"/>
        <v>0</v>
      </c>
      <c r="H31" s="184">
        <f t="shared" si="21"/>
        <v>0</v>
      </c>
      <c r="I31" s="184">
        <f t="shared" si="21"/>
        <v>0</v>
      </c>
      <c r="J31" s="184">
        <f t="shared" si="21"/>
        <v>0</v>
      </c>
      <c r="K31" s="184">
        <f t="shared" si="21"/>
        <v>0</v>
      </c>
      <c r="L31" s="196">
        <f t="shared" si="21"/>
        <v>0</v>
      </c>
      <c r="M31" s="196">
        <f t="shared" si="21"/>
        <v>0</v>
      </c>
      <c r="N31" s="196">
        <f t="shared" si="21"/>
        <v>0</v>
      </c>
      <c r="O31" s="164">
        <f>SUM(C31:N31)</f>
        <v>0</v>
      </c>
      <c r="P31" s="171"/>
      <c r="Q31" s="342">
        <f>ROW()</f>
        <v>31</v>
      </c>
      <c r="R31" t="s">
        <v>229</v>
      </c>
      <c r="S31" s="7">
        <f>SUM(S20,S24)</f>
        <v>1838448.1784907598</v>
      </c>
      <c r="T31" s="335">
        <f>SUM(U20,U24)/SUM(S20,S24)</f>
        <v>0</v>
      </c>
      <c r="U31" s="326">
        <f>+S31*T31</f>
        <v>0</v>
      </c>
    </row>
    <row r="32" spans="1:21">
      <c r="A32" s="2" t="s">
        <v>155</v>
      </c>
      <c r="B32" s="74" t="s">
        <v>56</v>
      </c>
      <c r="C32" s="185">
        <f t="shared" ref="C32:I32" si="22">C31+C29+C30</f>
        <v>0</v>
      </c>
      <c r="D32" s="185">
        <f t="shared" si="22"/>
        <v>0</v>
      </c>
      <c r="E32" s="185">
        <f t="shared" si="22"/>
        <v>15423000</v>
      </c>
      <c r="F32" s="185">
        <f t="shared" si="22"/>
        <v>0</v>
      </c>
      <c r="G32" s="185">
        <f t="shared" si="22"/>
        <v>0</v>
      </c>
      <c r="H32" s="185">
        <f t="shared" si="22"/>
        <v>44808000</v>
      </c>
      <c r="I32" s="185">
        <f t="shared" si="22"/>
        <v>0</v>
      </c>
      <c r="J32" s="185">
        <f>J31+J29+J30</f>
        <v>0</v>
      </c>
      <c r="K32" s="185">
        <f>SUM(K29:K31)</f>
        <v>50738856</v>
      </c>
      <c r="L32" s="197">
        <f>L31+L29+L30</f>
        <v>0</v>
      </c>
      <c r="M32" s="197">
        <f t="shared" ref="M32:N32" si="23">M31+M29+M30</f>
        <v>0</v>
      </c>
      <c r="N32" s="197">
        <f t="shared" si="23"/>
        <v>0</v>
      </c>
      <c r="O32" s="166">
        <f>O31+O29+O30</f>
        <v>110969856</v>
      </c>
      <c r="P32" s="171"/>
      <c r="Q32" s="342">
        <f>ROW()</f>
        <v>32</v>
      </c>
    </row>
    <row r="33" spans="1:23">
      <c r="B33" s="74"/>
      <c r="C33" s="184"/>
      <c r="D33" s="184"/>
      <c r="E33" s="184"/>
      <c r="F33" s="184"/>
      <c r="G33" s="184"/>
      <c r="H33" s="184"/>
      <c r="I33" s="184"/>
      <c r="J33" s="184"/>
      <c r="K33" s="184"/>
      <c r="L33" s="196"/>
      <c r="M33" s="196"/>
      <c r="N33" s="196"/>
      <c r="O33" s="231">
        <f>O32-SUM(C32:N32)</f>
        <v>0</v>
      </c>
      <c r="P33" s="171"/>
      <c r="Q33" t="s">
        <v>232</v>
      </c>
    </row>
    <row r="34" spans="1:23">
      <c r="B34" s="74"/>
      <c r="C34" s="186"/>
      <c r="D34" s="186"/>
      <c r="E34" s="186"/>
      <c r="F34" s="186"/>
      <c r="G34" s="186"/>
      <c r="H34" s="186"/>
      <c r="I34" s="186"/>
      <c r="J34" s="186"/>
      <c r="K34" s="186"/>
      <c r="L34" s="196"/>
      <c r="M34" s="196"/>
      <c r="N34" s="196"/>
      <c r="O34" s="167"/>
      <c r="P34" s="171"/>
      <c r="Q34" s="343">
        <f>ROW()</f>
        <v>34</v>
      </c>
      <c r="R34" s="338" t="s">
        <v>222</v>
      </c>
      <c r="S34" s="337">
        <f>+K36</f>
        <v>-1717157</v>
      </c>
      <c r="T34" s="340">
        <f>+K37</f>
        <v>63.03</v>
      </c>
      <c r="U34" s="339">
        <f>+S34*T34</f>
        <v>-108232405.71000001</v>
      </c>
    </row>
    <row r="35" spans="1:23">
      <c r="A35" s="76" t="s">
        <v>58</v>
      </c>
      <c r="C35" s="187"/>
      <c r="D35" s="187"/>
      <c r="E35" s="187"/>
      <c r="F35" s="187"/>
      <c r="G35" s="187"/>
      <c r="H35" s="187"/>
      <c r="I35" s="187"/>
      <c r="J35" s="187"/>
      <c r="K35" s="187"/>
      <c r="L35" s="198"/>
      <c r="M35" s="198"/>
      <c r="N35" s="198"/>
      <c r="O35" s="168"/>
      <c r="P35" s="171"/>
      <c r="Q35" s="342">
        <f>ROW()</f>
        <v>35</v>
      </c>
      <c r="R35" t="s">
        <v>235</v>
      </c>
      <c r="U35" s="319">
        <f>-U34*0.0175</f>
        <v>1894067.0999250002</v>
      </c>
    </row>
    <row r="36" spans="1:23">
      <c r="A36" s="3" t="s">
        <v>153</v>
      </c>
      <c r="B36" s="75" t="s">
        <v>55</v>
      </c>
      <c r="C36" s="180"/>
      <c r="D36" s="180"/>
      <c r="E36" s="180">
        <f>+E8</f>
        <v>0</v>
      </c>
      <c r="F36" s="180"/>
      <c r="G36" s="180"/>
      <c r="H36" s="180">
        <f>+H8</f>
        <v>0</v>
      </c>
      <c r="I36" s="180"/>
      <c r="J36" s="180"/>
      <c r="K36" s="180">
        <f>+J8</f>
        <v>-1717157</v>
      </c>
      <c r="L36" s="193"/>
      <c r="M36" s="193"/>
      <c r="N36" s="193">
        <f>+N8</f>
        <v>-1471848.898</v>
      </c>
      <c r="O36" s="158">
        <f>SUM(C36:N36)</f>
        <v>-3189005.898</v>
      </c>
      <c r="P36" s="171"/>
      <c r="Q36" s="342">
        <f>ROW()</f>
        <v>36</v>
      </c>
      <c r="R36" t="s">
        <v>223</v>
      </c>
      <c r="S36" s="7">
        <f>+N36</f>
        <v>-1471848.898</v>
      </c>
      <c r="T36" s="336">
        <f>+N37</f>
        <v>0</v>
      </c>
      <c r="U36" s="348">
        <f>+S36*T36</f>
        <v>0</v>
      </c>
    </row>
    <row r="37" spans="1:23">
      <c r="A37" s="3" t="s">
        <v>59</v>
      </c>
      <c r="B37" s="74" t="s">
        <v>62</v>
      </c>
      <c r="C37" s="183"/>
      <c r="D37" s="183"/>
      <c r="E37" s="183">
        <f>+'Dec 23 Daily Settle Price (R)'!H106</f>
        <v>48.5</v>
      </c>
      <c r="F37" s="183"/>
      <c r="G37" s="183"/>
      <c r="H37" s="183">
        <f>+'Dec 23 Daily Settle Price (R)'!H107</f>
        <v>56.01</v>
      </c>
      <c r="I37" s="183"/>
      <c r="J37" s="183"/>
      <c r="K37" s="183">
        <f>K26</f>
        <v>63.03</v>
      </c>
      <c r="L37" s="195"/>
      <c r="M37" s="195"/>
      <c r="N37" s="346">
        <f t="shared" ref="N37" si="24">+N26</f>
        <v>0</v>
      </c>
      <c r="O37" s="169"/>
      <c r="P37" s="171"/>
      <c r="Q37" s="342">
        <f>ROW()</f>
        <v>37</v>
      </c>
      <c r="R37" t="s">
        <v>236</v>
      </c>
      <c r="U37" s="319">
        <f>-U36*0.0175</f>
        <v>0</v>
      </c>
    </row>
    <row r="38" spans="1:23">
      <c r="A38" s="3" t="s">
        <v>200</v>
      </c>
      <c r="B38" s="74" t="s">
        <v>56</v>
      </c>
      <c r="C38" s="311">
        <f>+C36*C37</f>
        <v>0</v>
      </c>
      <c r="D38" s="311">
        <f t="shared" ref="D38:N38" si="25">+D36*D37</f>
        <v>0</v>
      </c>
      <c r="E38" s="311">
        <f t="shared" si="25"/>
        <v>0</v>
      </c>
      <c r="F38" s="311">
        <f t="shared" si="25"/>
        <v>0</v>
      </c>
      <c r="G38" s="311">
        <f t="shared" si="25"/>
        <v>0</v>
      </c>
      <c r="H38" s="311">
        <f t="shared" si="25"/>
        <v>0</v>
      </c>
      <c r="I38" s="311">
        <f t="shared" si="25"/>
        <v>0</v>
      </c>
      <c r="J38" s="316">
        <f t="shared" si="25"/>
        <v>0</v>
      </c>
      <c r="K38" s="311">
        <f t="shared" si="25"/>
        <v>-108232405.71000001</v>
      </c>
      <c r="L38" s="315">
        <f t="shared" si="25"/>
        <v>0</v>
      </c>
      <c r="M38" s="315">
        <f t="shared" si="25"/>
        <v>0</v>
      </c>
      <c r="N38" s="315">
        <f t="shared" si="25"/>
        <v>0</v>
      </c>
      <c r="O38" s="311">
        <f>SUM(C38:N38)</f>
        <v>-108232405.71000001</v>
      </c>
      <c r="P38" s="171"/>
      <c r="Q38" s="342">
        <f>ROW()</f>
        <v>38</v>
      </c>
      <c r="R38" s="338" t="s">
        <v>237</v>
      </c>
      <c r="S38" s="337">
        <f>SUM(S34:S37)</f>
        <v>-3189005.898</v>
      </c>
      <c r="T38" s="338"/>
      <c r="U38" s="339">
        <f>SUM(U34:U37)</f>
        <v>-106338338.61007501</v>
      </c>
    </row>
    <row r="39" spans="1:23" s="205" customFormat="1">
      <c r="A39" s="203" t="s">
        <v>154</v>
      </c>
      <c r="B39" s="204" t="s">
        <v>56</v>
      </c>
      <c r="C39" s="312">
        <f>-C38*0.0175</f>
        <v>0</v>
      </c>
      <c r="D39" s="312">
        <f t="shared" ref="D39:O39" si="26">-D38*0.0175</f>
        <v>0</v>
      </c>
      <c r="E39" s="312">
        <f t="shared" si="26"/>
        <v>0</v>
      </c>
      <c r="F39" s="312">
        <f t="shared" si="26"/>
        <v>0</v>
      </c>
      <c r="G39" s="312">
        <f t="shared" si="26"/>
        <v>0</v>
      </c>
      <c r="H39" s="312">
        <f t="shared" si="26"/>
        <v>0</v>
      </c>
      <c r="I39" s="312">
        <f t="shared" si="26"/>
        <v>0</v>
      </c>
      <c r="J39" s="312">
        <f t="shared" si="26"/>
        <v>0</v>
      </c>
      <c r="K39" s="312">
        <f t="shared" si="26"/>
        <v>1894067.0999250002</v>
      </c>
      <c r="L39" s="313">
        <f t="shared" si="26"/>
        <v>0</v>
      </c>
      <c r="M39" s="313">
        <f t="shared" si="26"/>
        <v>0</v>
      </c>
      <c r="N39" s="313">
        <f t="shared" si="26"/>
        <v>0</v>
      </c>
      <c r="O39" s="312">
        <f t="shared" si="26"/>
        <v>1894067.0999250002</v>
      </c>
      <c r="P39" s="204"/>
      <c r="Q39" s="342">
        <f>ROW()</f>
        <v>39</v>
      </c>
      <c r="R39" s="354" t="s">
        <v>221</v>
      </c>
      <c r="S39" s="355">
        <f>+P59</f>
        <v>-3029555.6030999999</v>
      </c>
      <c r="T39" s="356"/>
      <c r="U39" s="355">
        <f>+P53</f>
        <v>-101021421.67957127</v>
      </c>
      <c r="V39"/>
      <c r="W39"/>
    </row>
    <row r="40" spans="1:23" ht="15.75" thickBot="1">
      <c r="A40" s="2" t="s">
        <v>156</v>
      </c>
      <c r="B40" s="215" t="s">
        <v>56</v>
      </c>
      <c r="C40" s="314">
        <f t="shared" ref="C40:I40" si="27">SUM(C38:C39)</f>
        <v>0</v>
      </c>
      <c r="D40" s="314">
        <f t="shared" si="27"/>
        <v>0</v>
      </c>
      <c r="E40" s="314">
        <f t="shared" si="27"/>
        <v>0</v>
      </c>
      <c r="F40" s="314">
        <f t="shared" si="27"/>
        <v>0</v>
      </c>
      <c r="G40" s="314">
        <f t="shared" si="27"/>
        <v>0</v>
      </c>
      <c r="H40" s="314">
        <f t="shared" si="27"/>
        <v>0</v>
      </c>
      <c r="I40" s="314">
        <f t="shared" si="27"/>
        <v>0</v>
      </c>
      <c r="J40" s="317">
        <f>SUM(J38:J39)</f>
        <v>0</v>
      </c>
      <c r="K40" s="220">
        <f t="shared" ref="K40:O40" si="28">SUM(K38:K39)</f>
        <v>-106338338.61007501</v>
      </c>
      <c r="L40" s="221">
        <f t="shared" si="28"/>
        <v>0</v>
      </c>
      <c r="M40" s="221">
        <f t="shared" si="28"/>
        <v>0</v>
      </c>
      <c r="N40" s="221">
        <f t="shared" si="28"/>
        <v>0</v>
      </c>
      <c r="O40" s="219">
        <f t="shared" si="28"/>
        <v>-106338338.61007501</v>
      </c>
      <c r="P40" s="171"/>
      <c r="Q40" s="342">
        <f>ROW()</f>
        <v>40</v>
      </c>
      <c r="R40" s="349" t="s">
        <v>227</v>
      </c>
      <c r="S40" s="347">
        <f>+Q59</f>
        <v>-159450.29490000001</v>
      </c>
      <c r="U40" s="347">
        <f>+Q53</f>
        <v>-5316916.9305037512</v>
      </c>
    </row>
    <row r="41" spans="1:23" ht="15.75" thickTop="1">
      <c r="B41" s="74"/>
      <c r="C41" s="154"/>
      <c r="D41" s="154"/>
      <c r="E41" s="154"/>
      <c r="F41" s="154"/>
      <c r="G41" s="154"/>
      <c r="H41" s="154"/>
      <c r="I41" s="154"/>
      <c r="J41" s="154"/>
      <c r="Q41" s="342">
        <f>ROW()</f>
        <v>41</v>
      </c>
    </row>
    <row r="42" spans="1:23" ht="15.75" thickBot="1">
      <c r="G42" s="7"/>
      <c r="H42" s="7"/>
      <c r="I42" s="7"/>
      <c r="J42" s="7"/>
      <c r="Q42" s="342">
        <f>ROW()</f>
        <v>42</v>
      </c>
      <c r="R42" s="357" t="s">
        <v>239</v>
      </c>
      <c r="S42" s="358">
        <f>+S21+S39</f>
        <v>-467551.06418583868</v>
      </c>
      <c r="T42" s="357"/>
      <c r="U42" s="358">
        <f>+U21+U39</f>
        <v>9948434.3204287291</v>
      </c>
    </row>
    <row r="43" spans="1:23" ht="15.75" thickTop="1">
      <c r="G43" s="7"/>
      <c r="H43" s="7"/>
      <c r="I43" s="7"/>
      <c r="J43" s="310"/>
      <c r="T43" s="334" t="s">
        <v>115</v>
      </c>
      <c r="U43" s="333">
        <f>+'Rev Req'!E32-U42</f>
        <v>10534698.246941671</v>
      </c>
    </row>
    <row r="44" spans="1:23">
      <c r="G44" s="7"/>
      <c r="H44" s="7"/>
      <c r="I44" s="7"/>
      <c r="J44" s="7"/>
    </row>
    <row r="45" spans="1:23">
      <c r="G45" s="7"/>
      <c r="H45" s="7"/>
      <c r="I45" s="7"/>
      <c r="J45" s="7"/>
      <c r="Q45" t="s">
        <v>234</v>
      </c>
    </row>
    <row r="46" spans="1:23">
      <c r="G46" s="7"/>
      <c r="H46" s="7"/>
      <c r="I46" s="7"/>
      <c r="J46" s="7"/>
      <c r="Q46" t="s">
        <v>240</v>
      </c>
    </row>
    <row r="47" spans="1:23">
      <c r="G47" s="7"/>
      <c r="H47" s="7"/>
      <c r="I47" s="7"/>
      <c r="J47" s="7"/>
    </row>
    <row r="48" spans="1:23">
      <c r="G48" s="7"/>
      <c r="H48" s="7"/>
      <c r="I48" s="7"/>
      <c r="J48" s="7"/>
      <c r="K48" s="154"/>
      <c r="L48" s="154"/>
    </row>
    <row r="49" spans="3:17">
      <c r="G49" s="7"/>
      <c r="H49" s="7"/>
      <c r="I49" s="7"/>
      <c r="J49" s="7"/>
      <c r="K49" s="7"/>
      <c r="L49" s="7"/>
    </row>
    <row r="50" spans="3:17">
      <c r="G50" s="7"/>
      <c r="H50" s="7"/>
      <c r="I50" s="7"/>
      <c r="J50" s="7"/>
      <c r="K50" s="7"/>
      <c r="L50" s="7"/>
      <c r="M50" s="154" t="s">
        <v>238</v>
      </c>
      <c r="N50" s="154"/>
      <c r="O50" s="309"/>
      <c r="P50" s="325" t="s">
        <v>201</v>
      </c>
      <c r="Q50" s="325" t="s">
        <v>202</v>
      </c>
    </row>
    <row r="51" spans="3:17">
      <c r="G51" s="7"/>
      <c r="H51" s="7"/>
      <c r="I51" s="7"/>
      <c r="J51" s="7"/>
      <c r="K51" s="7"/>
      <c r="L51" s="7"/>
      <c r="M51" s="7"/>
      <c r="N51" s="318" t="s">
        <v>204</v>
      </c>
      <c r="O51" s="319">
        <f>+O40*0.8</f>
        <v>-85070670.888060018</v>
      </c>
      <c r="P51" s="319">
        <f>+O51*(SUM(C32:K32)/O32)</f>
        <v>-85070670.888060018</v>
      </c>
      <c r="Q51" s="319">
        <f>+O51*(SUM(L32:N32)/O32)</f>
        <v>0</v>
      </c>
    </row>
    <row r="52" spans="3:17">
      <c r="G52" s="7"/>
      <c r="H52" s="7"/>
      <c r="I52" s="7"/>
      <c r="J52" s="7"/>
      <c r="M52" s="7"/>
      <c r="N52" s="318" t="s">
        <v>205</v>
      </c>
      <c r="O52" s="319">
        <f>+O40*0.2</f>
        <v>-21267667.722015005</v>
      </c>
      <c r="P52" s="319">
        <f>+O52*(9/12)</f>
        <v>-15950750.791511253</v>
      </c>
      <c r="Q52" s="319">
        <f>+O52*(3/12)</f>
        <v>-5316916.9305037512</v>
      </c>
    </row>
    <row r="53" spans="3:17">
      <c r="G53" s="7"/>
      <c r="H53" s="7"/>
      <c r="I53" s="7"/>
      <c r="J53" s="7"/>
      <c r="M53" s="7"/>
      <c r="N53" s="7"/>
      <c r="O53" s="320">
        <f>SUM(O51:O52)</f>
        <v>-106338338.61007503</v>
      </c>
      <c r="P53" s="320">
        <f t="shared" ref="P53:Q53" si="29">SUM(P51:P52)</f>
        <v>-101021421.67957127</v>
      </c>
      <c r="Q53" s="320">
        <f t="shared" si="29"/>
        <v>-5316916.9305037512</v>
      </c>
    </row>
    <row r="54" spans="3:17">
      <c r="G54" s="7"/>
      <c r="H54" s="7"/>
      <c r="I54" s="7"/>
      <c r="J54" s="7"/>
      <c r="K54" s="7"/>
      <c r="L54" s="7"/>
      <c r="M54" s="7"/>
      <c r="N54" s="7"/>
      <c r="O54" s="88" t="s">
        <v>210</v>
      </c>
    </row>
    <row r="55" spans="3:17">
      <c r="G55" s="7"/>
      <c r="H55" s="7"/>
      <c r="I55" s="7"/>
      <c r="J55" s="7"/>
      <c r="K55" s="7"/>
      <c r="L55" s="7"/>
      <c r="M55" s="7"/>
      <c r="N55" s="7"/>
    </row>
    <row r="56" spans="3:17">
      <c r="G56" s="7"/>
      <c r="H56" s="7"/>
      <c r="I56" s="7"/>
      <c r="J56" s="7"/>
      <c r="K56" s="7"/>
      <c r="L56" s="7"/>
      <c r="M56" s="7"/>
      <c r="N56" s="7"/>
      <c r="O56" s="309"/>
      <c r="P56" s="325" t="s">
        <v>201</v>
      </c>
      <c r="Q56" s="325" t="s">
        <v>202</v>
      </c>
    </row>
    <row r="57" spans="3:17">
      <c r="G57" s="7"/>
      <c r="H57" s="7"/>
      <c r="I57" s="7"/>
      <c r="J57" s="7"/>
      <c r="K57" s="7"/>
      <c r="L57" s="7"/>
      <c r="M57" s="7"/>
      <c r="N57" s="7"/>
      <c r="O57" s="319">
        <f>+O36*0.8</f>
        <v>-2551204.7184000001</v>
      </c>
      <c r="P57" s="319">
        <f>+O57*(SUM(C32:K32)/O32)</f>
        <v>-2551204.7184000001</v>
      </c>
      <c r="Q57" s="319">
        <f>+O57*(SUM(L32:N32)/O32)</f>
        <v>0</v>
      </c>
    </row>
    <row r="58" spans="3:17">
      <c r="G58" s="7"/>
      <c r="H58" s="7"/>
      <c r="I58" s="7"/>
      <c r="J58" s="7"/>
      <c r="K58" s="7"/>
      <c r="L58" s="7"/>
      <c r="M58" s="7"/>
      <c r="N58" s="7"/>
      <c r="O58" s="319">
        <f>+O36*0.2</f>
        <v>-637801.17960000003</v>
      </c>
      <c r="P58" s="319">
        <f>+O58*(9/12)</f>
        <v>-478350.88470000005</v>
      </c>
      <c r="Q58" s="319">
        <f>+O58*(3/12)</f>
        <v>-159450.29490000001</v>
      </c>
    </row>
    <row r="59" spans="3:17">
      <c r="G59" s="7"/>
      <c r="H59" s="7"/>
      <c r="I59" s="7"/>
      <c r="J59" s="7"/>
      <c r="K59" s="7"/>
      <c r="L59" s="7"/>
      <c r="M59" s="7"/>
      <c r="N59" s="7"/>
      <c r="O59" s="320">
        <f>SUM(O57:O58)</f>
        <v>-3189005.898</v>
      </c>
      <c r="P59" s="320">
        <f t="shared" ref="P59:Q59" si="30">SUM(P57:P58)</f>
        <v>-3029555.6030999999</v>
      </c>
      <c r="Q59" s="320">
        <f t="shared" si="30"/>
        <v>-159450.29490000001</v>
      </c>
    </row>
    <row r="60" spans="3:17">
      <c r="G60" s="7"/>
      <c r="H60" s="7"/>
      <c r="I60" s="7"/>
      <c r="J60" s="7"/>
      <c r="K60" s="7"/>
      <c r="L60" s="7"/>
      <c r="M60" s="7"/>
      <c r="N60" s="7"/>
      <c r="O60" t="s">
        <v>209</v>
      </c>
      <c r="P60"/>
    </row>
    <row r="61" spans="3:17">
      <c r="G61" s="7"/>
      <c r="H61" s="7"/>
      <c r="I61" s="7"/>
      <c r="J61" s="7"/>
      <c r="K61" s="7"/>
      <c r="L61" s="7"/>
      <c r="M61" s="7"/>
      <c r="N61" s="7"/>
    </row>
    <row r="62" spans="3:17">
      <c r="G62" s="7"/>
      <c r="H62" s="7"/>
      <c r="I62" s="7"/>
      <c r="J62" s="7"/>
      <c r="K62" s="7"/>
      <c r="L62" s="7"/>
      <c r="M62" s="7"/>
      <c r="N62" s="7"/>
      <c r="O62" s="309"/>
      <c r="P62" s="325" t="s">
        <v>201</v>
      </c>
      <c r="Q62" s="325" t="s">
        <v>202</v>
      </c>
    </row>
    <row r="63" spans="3:17">
      <c r="G63" s="7"/>
      <c r="H63" s="7"/>
      <c r="I63" s="7"/>
      <c r="J63" s="7"/>
      <c r="K63" s="7"/>
      <c r="L63" s="7"/>
      <c r="M63" s="7"/>
      <c r="N63" s="7"/>
      <c r="O63" s="319">
        <f>+O38*0.8</f>
        <v>-86585924.568000019</v>
      </c>
      <c r="P63" s="319">
        <f>+O63*(SUM(C32:K32)/O32)</f>
        <v>-86585924.568000019</v>
      </c>
      <c r="Q63" s="319">
        <f>+O63*(SUM(L32:N32)/O32)</f>
        <v>0</v>
      </c>
    </row>
    <row r="64" spans="3:17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319">
        <f>+O38*0.2</f>
        <v>-21646481.142000005</v>
      </c>
      <c r="P64" s="319">
        <f>+O64*(9/12)</f>
        <v>-16234860.856500003</v>
      </c>
      <c r="Q64" s="319">
        <f>+O64*(3/12)</f>
        <v>-5411620.2855000012</v>
      </c>
    </row>
    <row r="65" spans="3:17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320">
        <f>SUM(O63:O64)</f>
        <v>-108232405.71000002</v>
      </c>
      <c r="P65" s="320">
        <f t="shared" ref="P65:Q65" si="31">SUM(P63:P64)</f>
        <v>-102820785.42450002</v>
      </c>
      <c r="Q65" s="320">
        <f t="shared" si="31"/>
        <v>-5411620.2855000012</v>
      </c>
    </row>
    <row r="66" spans="3:17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t="s">
        <v>211</v>
      </c>
      <c r="P66"/>
    </row>
    <row r="67" spans="3:17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3:17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7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7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7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7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7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7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7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7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7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7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7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7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2:15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2:15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2:15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2:1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2:1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2:15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</row>
    <row r="119" spans="2:15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</row>
    <row r="120" spans="2:15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</row>
    <row r="121" spans="2:15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</row>
    <row r="122" spans="2:15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</row>
    <row r="123" spans="2:15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</row>
    <row r="124" spans="2:15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</row>
    <row r="125" spans="2:1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156"/>
    </row>
    <row r="126" spans="2:1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56"/>
    </row>
    <row r="127" spans="2:1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156"/>
    </row>
    <row r="128" spans="2:1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156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56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56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56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56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56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56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56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56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56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56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56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56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56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56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56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56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56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56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56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56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56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56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56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56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56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56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56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56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56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56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56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56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56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56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56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56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56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56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56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56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56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56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56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56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56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56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56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56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56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56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56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56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56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56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56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56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56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56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56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56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56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56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56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56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56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56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56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56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56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56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56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56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56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56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56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56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56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56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56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56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56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56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56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56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56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56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56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56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56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56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56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56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56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56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56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56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56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56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56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56"/>
    </row>
    <row r="229" spans="2:1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156"/>
    </row>
    <row r="230" spans="2:1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156"/>
    </row>
    <row r="231" spans="2:1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156"/>
    </row>
    <row r="232" spans="2:1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156"/>
    </row>
    <row r="233" spans="2:1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156"/>
    </row>
    <row r="234" spans="2:1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156"/>
    </row>
    <row r="235" spans="2:1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156"/>
    </row>
  </sheetData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39"/>
  <sheetViews>
    <sheetView zoomScale="85" zoomScaleNormal="85" workbookViewId="0">
      <pane xSplit="2" ySplit="5" topLeftCell="C6" activePane="bottomRight" state="frozen"/>
      <selection activeCell="I41" sqref="I41"/>
      <selection pane="topRight" activeCell="I41" sqref="I41"/>
      <selection pane="bottomLeft" activeCell="I41" sqref="I41"/>
      <selection pane="bottomRight" activeCell="D2" sqref="D2:I3"/>
    </sheetView>
  </sheetViews>
  <sheetFormatPr defaultRowHeight="15" outlineLevelRow="1"/>
  <cols>
    <col min="1" max="1" width="74.5703125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8" bestFit="1" customWidth="1"/>
    <col min="16" max="16" width="13.42578125" style="170" bestFit="1" customWidth="1"/>
    <col min="17" max="17" width="12.28515625" bestFit="1" customWidth="1"/>
    <col min="18" max="18" width="15.7109375" customWidth="1"/>
    <col min="19" max="19" width="13.7109375" bestFit="1" customWidth="1"/>
    <col min="20" max="21" width="12" bestFit="1" customWidth="1"/>
    <col min="23" max="24" width="14.28515625" bestFit="1" customWidth="1"/>
    <col min="25" max="25" width="13" bestFit="1" customWidth="1"/>
  </cols>
  <sheetData>
    <row r="1" spans="1:19" ht="17.25" thickTop="1" thickBot="1">
      <c r="D1" s="367" t="s">
        <v>247</v>
      </c>
      <c r="E1" s="368"/>
      <c r="F1" s="369"/>
      <c r="G1" s="369"/>
      <c r="H1" s="369"/>
      <c r="I1" s="370"/>
    </row>
    <row r="2" spans="1:19" s="1" customFormat="1" ht="23.25" thickTop="1">
      <c r="A2" s="5"/>
      <c r="D2" s="496" t="s">
        <v>255</v>
      </c>
      <c r="E2" s="496"/>
      <c r="F2" s="496"/>
      <c r="G2" s="496"/>
      <c r="H2" s="496"/>
      <c r="I2" s="496"/>
      <c r="O2" s="199"/>
      <c r="P2" s="202"/>
    </row>
    <row r="3" spans="1:19" ht="15.75">
      <c r="D3" s="402" t="s">
        <v>253</v>
      </c>
    </row>
    <row r="4" spans="1:19" s="1" customFormat="1">
      <c r="A4" s="5"/>
      <c r="C4" s="200" t="s">
        <v>103</v>
      </c>
      <c r="D4" s="200" t="s">
        <v>103</v>
      </c>
      <c r="E4" s="200" t="s">
        <v>103</v>
      </c>
      <c r="F4" s="200" t="s">
        <v>103</v>
      </c>
      <c r="G4" s="200" t="s">
        <v>103</v>
      </c>
      <c r="H4" s="200" t="s">
        <v>103</v>
      </c>
      <c r="I4" s="200" t="s">
        <v>103</v>
      </c>
      <c r="J4" s="200" t="s">
        <v>103</v>
      </c>
      <c r="K4" s="201" t="s">
        <v>104</v>
      </c>
      <c r="L4" s="201" t="s">
        <v>104</v>
      </c>
      <c r="M4" s="201" t="s">
        <v>104</v>
      </c>
      <c r="N4" s="238" t="s">
        <v>104</v>
      </c>
      <c r="O4" s="199"/>
      <c r="P4" s="202"/>
      <c r="Q4"/>
    </row>
    <row r="5" spans="1:19" ht="29.25" customHeight="1" thickBot="1">
      <c r="A5" s="2" t="s">
        <v>4</v>
      </c>
      <c r="B5" s="74"/>
      <c r="C5" s="371">
        <v>44927</v>
      </c>
      <c r="D5" s="371">
        <v>44958</v>
      </c>
      <c r="E5" s="371">
        <v>44986</v>
      </c>
      <c r="F5" s="371">
        <v>45017</v>
      </c>
      <c r="G5" s="371">
        <v>45047</v>
      </c>
      <c r="H5" s="371">
        <v>45078</v>
      </c>
      <c r="I5" s="371">
        <v>45108</v>
      </c>
      <c r="J5" s="371">
        <v>45139</v>
      </c>
      <c r="K5" s="371">
        <v>45170</v>
      </c>
      <c r="L5" s="372">
        <v>45200</v>
      </c>
      <c r="M5" s="372">
        <v>45231</v>
      </c>
      <c r="N5" s="373">
        <v>45261</v>
      </c>
      <c r="O5" s="374" t="s">
        <v>3</v>
      </c>
      <c r="P5" s="174"/>
      <c r="R5" s="131"/>
    </row>
    <row r="6" spans="1:19" ht="15.75" thickTop="1">
      <c r="A6" s="3" t="s">
        <v>147</v>
      </c>
      <c r="B6" s="75" t="s">
        <v>54</v>
      </c>
      <c r="C6" s="406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8"/>
      <c r="P6" s="173"/>
    </row>
    <row r="7" spans="1:19">
      <c r="A7" s="6" t="s">
        <v>97</v>
      </c>
      <c r="B7" s="75" t="s">
        <v>54</v>
      </c>
      <c r="C7" s="409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1"/>
      <c r="P7" s="173"/>
    </row>
    <row r="8" spans="1:19">
      <c r="A8" s="4" t="s">
        <v>0</v>
      </c>
      <c r="B8" s="75" t="s">
        <v>54</v>
      </c>
      <c r="C8" s="412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4"/>
      <c r="P8" s="173"/>
    </row>
    <row r="9" spans="1:19" ht="15.75" thickBot="1">
      <c r="A9" s="138" t="s">
        <v>1</v>
      </c>
      <c r="B9" s="75" t="s">
        <v>55</v>
      </c>
      <c r="C9" s="415"/>
      <c r="D9" s="416"/>
      <c r="E9" s="416"/>
      <c r="F9" s="416"/>
      <c r="G9" s="416"/>
      <c r="H9" s="413"/>
      <c r="I9" s="416"/>
      <c r="J9" s="416"/>
      <c r="K9" s="413"/>
      <c r="L9" s="416"/>
      <c r="M9" s="416"/>
      <c r="N9" s="416"/>
      <c r="O9" s="417"/>
      <c r="P9" s="173"/>
    </row>
    <row r="10" spans="1:19" ht="16.5" thickTop="1" thickBot="1">
      <c r="A10" s="5" t="s">
        <v>99</v>
      </c>
      <c r="B10" s="75" t="s">
        <v>55</v>
      </c>
      <c r="C10" s="375"/>
      <c r="D10" s="375"/>
      <c r="E10" s="375"/>
      <c r="F10" s="375"/>
      <c r="G10" s="375"/>
      <c r="H10" s="418"/>
      <c r="I10" s="375"/>
      <c r="J10" s="375"/>
      <c r="K10" s="418"/>
      <c r="L10" s="375"/>
      <c r="M10" s="375"/>
      <c r="N10" s="375"/>
      <c r="O10" s="411"/>
      <c r="P10" s="173"/>
    </row>
    <row r="11" spans="1:19" ht="15.75" thickTop="1">
      <c r="A11" s="5" t="s">
        <v>212</v>
      </c>
      <c r="B11" s="75" t="s">
        <v>55</v>
      </c>
      <c r="C11" s="406"/>
      <c r="D11" s="407"/>
      <c r="E11" s="407"/>
      <c r="F11" s="407"/>
      <c r="G11" s="407"/>
      <c r="H11" s="410"/>
      <c r="I11" s="407"/>
      <c r="J11" s="407"/>
      <c r="K11" s="410"/>
      <c r="L11" s="407"/>
      <c r="M11" s="407"/>
      <c r="N11" s="407"/>
      <c r="O11" s="411"/>
      <c r="P11" s="173"/>
      <c r="Q11" s="136"/>
      <c r="R11" s="326"/>
    </row>
    <row r="12" spans="1:19" s="1" customFormat="1">
      <c r="A12" s="5" t="s">
        <v>100</v>
      </c>
      <c r="B12" s="75" t="s">
        <v>55</v>
      </c>
      <c r="C12" s="409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1"/>
      <c r="P12" s="173"/>
      <c r="Q12"/>
      <c r="R12"/>
      <c r="S12"/>
    </row>
    <row r="13" spans="1:19" ht="15.75" thickBot="1">
      <c r="A13" s="4" t="s">
        <v>2</v>
      </c>
      <c r="B13" s="75" t="s">
        <v>55</v>
      </c>
      <c r="C13" s="415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N13" s="416"/>
      <c r="O13" s="419"/>
      <c r="P13" s="173"/>
      <c r="R13" s="133"/>
    </row>
    <row r="14" spans="1:19" ht="14.25" customHeight="1" thickTop="1">
      <c r="B14" s="134"/>
      <c r="C14" s="376">
        <f>-'Emissions Rates'!F6</f>
        <v>-5.3114800000000004E-2</v>
      </c>
      <c r="D14" s="376">
        <f>C14</f>
        <v>-5.3114800000000004E-2</v>
      </c>
      <c r="E14" s="376">
        <f t="shared" ref="E14:N14" si="0">D14</f>
        <v>-5.3114800000000004E-2</v>
      </c>
      <c r="F14" s="376">
        <f t="shared" si="0"/>
        <v>-5.3114800000000004E-2</v>
      </c>
      <c r="G14" s="376">
        <f>F14</f>
        <v>-5.3114800000000004E-2</v>
      </c>
      <c r="H14" s="376">
        <f t="shared" si="0"/>
        <v>-5.3114800000000004E-2</v>
      </c>
      <c r="I14" s="376">
        <f t="shared" si="0"/>
        <v>-5.3114800000000004E-2</v>
      </c>
      <c r="J14" s="376">
        <f t="shared" si="0"/>
        <v>-5.3114800000000004E-2</v>
      </c>
      <c r="K14" s="376">
        <f t="shared" si="0"/>
        <v>-5.3114800000000004E-2</v>
      </c>
      <c r="L14" s="376">
        <f t="shared" si="0"/>
        <v>-5.3114800000000004E-2</v>
      </c>
      <c r="M14" s="376">
        <f t="shared" si="0"/>
        <v>-5.3114800000000004E-2</v>
      </c>
      <c r="N14" s="376">
        <f t="shared" si="0"/>
        <v>-5.3114800000000004E-2</v>
      </c>
      <c r="O14" s="161"/>
      <c r="P14" s="171"/>
      <c r="R14" s="327"/>
    </row>
    <row r="15" spans="1:19" s="1" customFormat="1" ht="18.75">
      <c r="A15" s="235" t="s">
        <v>98</v>
      </c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7"/>
      <c r="M15" s="237"/>
      <c r="N15" s="236"/>
      <c r="O15" s="236"/>
      <c r="P15" s="172"/>
      <c r="Q15"/>
      <c r="R15" s="327"/>
    </row>
    <row r="16" spans="1:19" ht="15.75" thickBot="1">
      <c r="A16" s="76" t="s">
        <v>57</v>
      </c>
      <c r="B16" s="74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8"/>
      <c r="O16" s="379"/>
      <c r="P16" s="171"/>
      <c r="R16" s="327"/>
    </row>
    <row r="17" spans="1:18" ht="15.75" thickTop="1">
      <c r="A17" s="5" t="s">
        <v>1</v>
      </c>
      <c r="B17" s="380" t="s">
        <v>55</v>
      </c>
      <c r="C17" s="420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08"/>
      <c r="P17" s="381"/>
      <c r="R17" s="326"/>
    </row>
    <row r="18" spans="1:18" ht="15.75" outlineLevel="1" thickBot="1">
      <c r="A18" s="5" t="s">
        <v>101</v>
      </c>
      <c r="B18" s="380" t="s">
        <v>55</v>
      </c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4"/>
      <c r="P18" s="381"/>
      <c r="R18" s="326"/>
    </row>
    <row r="19" spans="1:18" ht="16.5" outlineLevel="1" thickTop="1" thickBot="1">
      <c r="A19" s="5" t="s">
        <v>193</v>
      </c>
      <c r="B19" s="380"/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3"/>
      <c r="P19" s="381"/>
    </row>
    <row r="20" spans="1:18" ht="15.75" thickTop="1">
      <c r="A20" t="s">
        <v>192</v>
      </c>
      <c r="B20" s="384" t="s">
        <v>55</v>
      </c>
      <c r="C20" s="406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25"/>
      <c r="O20" s="426"/>
      <c r="P20" s="381"/>
      <c r="Q20" s="385"/>
    </row>
    <row r="21" spans="1:18" ht="15.75" thickBot="1">
      <c r="A21" t="s">
        <v>91</v>
      </c>
      <c r="B21" s="384" t="s">
        <v>55</v>
      </c>
      <c r="C21" s="415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27"/>
      <c r="P21" s="381"/>
      <c r="Q21" s="386"/>
    </row>
    <row r="22" spans="1:18" ht="16.5" thickTop="1" thickBot="1">
      <c r="A22" s="5"/>
      <c r="B22" s="74"/>
      <c r="C22" s="387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8"/>
      <c r="P22" s="381"/>
    </row>
    <row r="23" spans="1:18" ht="15.75" thickTop="1">
      <c r="A23" s="5" t="s">
        <v>148</v>
      </c>
      <c r="B23" s="75" t="s">
        <v>55</v>
      </c>
      <c r="C23" s="420"/>
      <c r="D23" s="421"/>
      <c r="E23" s="421"/>
      <c r="F23" s="421"/>
      <c r="G23" s="407"/>
      <c r="H23" s="421"/>
      <c r="I23" s="407"/>
      <c r="J23" s="407"/>
      <c r="K23" s="421"/>
      <c r="L23" s="407"/>
      <c r="M23" s="407"/>
      <c r="N23" s="407"/>
      <c r="O23" s="426"/>
      <c r="P23" s="381"/>
    </row>
    <row r="24" spans="1:18">
      <c r="A24" s="5" t="s">
        <v>195</v>
      </c>
      <c r="B24" s="75" t="s">
        <v>55</v>
      </c>
      <c r="C24" s="428"/>
      <c r="D24" s="429"/>
      <c r="E24" s="429"/>
      <c r="F24" s="429"/>
      <c r="G24" s="410"/>
      <c r="H24" s="429"/>
      <c r="I24" s="410"/>
      <c r="J24" s="410"/>
      <c r="K24" s="429"/>
      <c r="L24" s="410"/>
      <c r="M24" s="410"/>
      <c r="N24" s="410"/>
      <c r="O24" s="430"/>
      <c r="P24" s="381"/>
    </row>
    <row r="25" spans="1:18">
      <c r="A25" s="5" t="s">
        <v>157</v>
      </c>
      <c r="B25" s="75" t="s">
        <v>55</v>
      </c>
      <c r="C25" s="409"/>
      <c r="D25" s="410"/>
      <c r="E25" s="431"/>
      <c r="F25" s="410"/>
      <c r="G25" s="410"/>
      <c r="H25" s="410"/>
      <c r="I25" s="410"/>
      <c r="J25" s="410"/>
      <c r="K25" s="410"/>
      <c r="L25" s="410"/>
      <c r="M25" s="410"/>
      <c r="N25" s="410"/>
      <c r="O25" s="430"/>
      <c r="P25" s="381"/>
    </row>
    <row r="26" spans="1:18" ht="15.75" thickBot="1">
      <c r="A26" s="3" t="s">
        <v>146</v>
      </c>
      <c r="B26" s="75" t="s">
        <v>55</v>
      </c>
      <c r="C26" s="432"/>
      <c r="D26" s="433"/>
      <c r="E26" s="434"/>
      <c r="F26" s="433"/>
      <c r="G26" s="433"/>
      <c r="H26" s="433"/>
      <c r="I26" s="433"/>
      <c r="J26" s="433"/>
      <c r="K26" s="433"/>
      <c r="L26" s="433"/>
      <c r="M26" s="433"/>
      <c r="N26" s="433"/>
      <c r="O26" s="435"/>
      <c r="P26" s="381"/>
    </row>
    <row r="27" spans="1:18" ht="15.75" thickTop="1">
      <c r="B27" s="234" t="s">
        <v>115</v>
      </c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90"/>
      <c r="P27" s="381"/>
    </row>
    <row r="28" spans="1:18" ht="15.75" thickBot="1">
      <c r="B28" s="234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78"/>
      <c r="P28" s="381"/>
    </row>
    <row r="29" spans="1:18" ht="15.75" thickTop="1">
      <c r="A29" s="3" t="s">
        <v>149</v>
      </c>
      <c r="B29" s="74" t="s">
        <v>62</v>
      </c>
      <c r="C29" s="436"/>
      <c r="D29" s="437"/>
      <c r="E29" s="437"/>
      <c r="F29" s="437"/>
      <c r="G29" s="438"/>
      <c r="H29" s="437"/>
      <c r="I29" s="437"/>
      <c r="J29" s="437"/>
      <c r="K29" s="437"/>
      <c r="L29" s="437"/>
      <c r="M29" s="437"/>
      <c r="N29" s="437"/>
      <c r="O29" s="439"/>
      <c r="P29" s="381"/>
    </row>
    <row r="30" spans="1:18">
      <c r="A30" s="3" t="s">
        <v>196</v>
      </c>
      <c r="B30" s="74" t="s">
        <v>62</v>
      </c>
      <c r="C30" s="440"/>
      <c r="D30" s="441"/>
      <c r="E30" s="441"/>
      <c r="F30" s="441"/>
      <c r="G30" s="442"/>
      <c r="H30" s="441"/>
      <c r="I30" s="441"/>
      <c r="J30" s="441"/>
      <c r="K30" s="441"/>
      <c r="L30" s="441"/>
      <c r="M30" s="441"/>
      <c r="N30" s="441"/>
      <c r="O30" s="443"/>
      <c r="P30" s="381"/>
    </row>
    <row r="31" spans="1:18">
      <c r="A31" s="3" t="s">
        <v>150</v>
      </c>
      <c r="B31" s="74" t="s">
        <v>62</v>
      </c>
      <c r="C31" s="444"/>
      <c r="D31" s="445"/>
      <c r="E31" s="445"/>
      <c r="F31" s="445"/>
      <c r="G31" s="445"/>
      <c r="H31" s="445"/>
      <c r="I31" s="445"/>
      <c r="J31" s="445"/>
      <c r="K31" s="446"/>
      <c r="L31" s="445"/>
      <c r="M31" s="445"/>
      <c r="N31" s="446"/>
      <c r="O31" s="447"/>
      <c r="P31" s="381"/>
    </row>
    <row r="32" spans="1:18">
      <c r="A32" s="3" t="s">
        <v>151</v>
      </c>
      <c r="B32" s="74" t="s">
        <v>56</v>
      </c>
      <c r="C32" s="448"/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3"/>
      <c r="P32" s="381"/>
    </row>
    <row r="33" spans="1:17">
      <c r="A33" s="3" t="s">
        <v>197</v>
      </c>
      <c r="B33" s="74" t="s">
        <v>56</v>
      </c>
      <c r="C33" s="448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3"/>
      <c r="P33" s="381"/>
    </row>
    <row r="34" spans="1:17">
      <c r="A34" s="3" t="s">
        <v>152</v>
      </c>
      <c r="B34" s="74" t="s">
        <v>56</v>
      </c>
      <c r="C34" s="450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43"/>
      <c r="P34" s="381"/>
    </row>
    <row r="35" spans="1:17" ht="15.75" thickBot="1">
      <c r="A35" s="2" t="s">
        <v>155</v>
      </c>
      <c r="B35" s="74" t="s">
        <v>56</v>
      </c>
      <c r="C35" s="452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4"/>
      <c r="P35" s="381"/>
    </row>
    <row r="36" spans="1:17" ht="15.75" thickTop="1">
      <c r="B36" s="74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0"/>
      <c r="P36" s="381"/>
    </row>
    <row r="37" spans="1:17">
      <c r="B37" s="74"/>
      <c r="C37" s="392"/>
      <c r="D37" s="392"/>
      <c r="E37" s="392"/>
      <c r="F37" s="392"/>
      <c r="G37" s="392"/>
      <c r="H37" s="392"/>
      <c r="I37" s="392"/>
      <c r="J37" s="392"/>
      <c r="K37" s="392"/>
      <c r="L37" s="391"/>
      <c r="M37" s="391"/>
      <c r="N37" s="391"/>
      <c r="O37" s="393"/>
      <c r="P37" s="381"/>
    </row>
    <row r="38" spans="1:17" ht="15.75" thickBot="1">
      <c r="A38" s="76" t="s">
        <v>58</v>
      </c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94"/>
      <c r="P38" s="381"/>
    </row>
    <row r="39" spans="1:17" ht="15.75" thickTop="1">
      <c r="A39" s="3" t="s">
        <v>153</v>
      </c>
      <c r="B39" s="75" t="s">
        <v>55</v>
      </c>
      <c r="C39" s="420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6"/>
      <c r="P39" s="381"/>
    </row>
    <row r="40" spans="1:17">
      <c r="A40" s="3" t="s">
        <v>59</v>
      </c>
      <c r="B40" s="74" t="s">
        <v>62</v>
      </c>
      <c r="C40" s="444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6"/>
      <c r="O40" s="455"/>
      <c r="P40" s="381"/>
    </row>
    <row r="41" spans="1:17">
      <c r="A41" s="3" t="s">
        <v>200</v>
      </c>
      <c r="B41" s="74" t="s">
        <v>56</v>
      </c>
      <c r="C41" s="456"/>
      <c r="D41" s="457"/>
      <c r="E41" s="457"/>
      <c r="F41" s="457"/>
      <c r="G41" s="457"/>
      <c r="H41" s="457"/>
      <c r="I41" s="457"/>
      <c r="J41" s="458"/>
      <c r="K41" s="459"/>
      <c r="L41" s="459"/>
      <c r="M41" s="459"/>
      <c r="N41" s="459"/>
      <c r="O41" s="460"/>
      <c r="P41" s="381"/>
    </row>
    <row r="42" spans="1:17" s="205" customFormat="1">
      <c r="A42" s="203" t="s">
        <v>154</v>
      </c>
      <c r="B42" s="74" t="s">
        <v>56</v>
      </c>
      <c r="C42" s="461"/>
      <c r="D42" s="462"/>
      <c r="E42" s="462"/>
      <c r="F42" s="462"/>
      <c r="G42" s="462"/>
      <c r="H42" s="462"/>
      <c r="I42" s="462"/>
      <c r="J42" s="462"/>
      <c r="K42" s="462"/>
      <c r="L42" s="462"/>
      <c r="M42" s="462"/>
      <c r="N42" s="462"/>
      <c r="O42" s="463"/>
      <c r="P42" s="381"/>
      <c r="Q42"/>
    </row>
    <row r="43" spans="1:17" ht="15.75" thickBot="1">
      <c r="A43" s="2" t="s">
        <v>156</v>
      </c>
      <c r="B43" s="74" t="s">
        <v>56</v>
      </c>
      <c r="C43" s="464"/>
      <c r="D43" s="464"/>
      <c r="E43" s="464"/>
      <c r="F43" s="464"/>
      <c r="G43" s="464"/>
      <c r="H43" s="464"/>
      <c r="I43" s="464"/>
      <c r="J43" s="465"/>
      <c r="K43" s="466"/>
      <c r="L43" s="466"/>
      <c r="M43" s="466"/>
      <c r="N43" s="466"/>
      <c r="O43" s="467"/>
      <c r="P43" s="381"/>
    </row>
    <row r="44" spans="1:17" ht="16.5" thickTop="1" thickBot="1">
      <c r="B44" s="74"/>
      <c r="C44" s="371" t="s">
        <v>252</v>
      </c>
      <c r="D44" s="371" t="s">
        <v>252</v>
      </c>
      <c r="E44" s="371" t="s">
        <v>252</v>
      </c>
      <c r="F44" s="371" t="s">
        <v>252</v>
      </c>
      <c r="G44" s="371" t="s">
        <v>252</v>
      </c>
      <c r="H44" s="371" t="s">
        <v>252</v>
      </c>
      <c r="I44" s="371" t="s">
        <v>252</v>
      </c>
      <c r="J44" s="371" t="s">
        <v>252</v>
      </c>
      <c r="K44" s="371" t="s">
        <v>252</v>
      </c>
      <c r="L44" s="154"/>
      <c r="M44" s="154"/>
      <c r="N44" s="154"/>
      <c r="O44" s="309"/>
      <c r="P44" s="325" t="s">
        <v>201</v>
      </c>
      <c r="Q44" s="325" t="s">
        <v>202</v>
      </c>
    </row>
    <row r="45" spans="1:17" ht="15.75" thickTop="1">
      <c r="G45" s="7"/>
      <c r="H45" s="7"/>
      <c r="I45" s="7"/>
      <c r="J45" s="7"/>
      <c r="K45" s="7"/>
      <c r="L45" s="395"/>
      <c r="M45" s="7"/>
      <c r="N45" s="318" t="s">
        <v>204</v>
      </c>
      <c r="O45" s="468"/>
      <c r="P45" s="469"/>
      <c r="Q45" s="470"/>
    </row>
    <row r="46" spans="1:17">
      <c r="G46" s="7"/>
      <c r="H46" s="7"/>
      <c r="I46" s="7"/>
      <c r="J46" s="310"/>
      <c r="K46" s="7"/>
      <c r="L46" s="7"/>
      <c r="M46" s="7"/>
      <c r="N46" s="318" t="s">
        <v>205</v>
      </c>
      <c r="O46" s="471"/>
      <c r="P46" s="472"/>
      <c r="Q46" s="473"/>
    </row>
    <row r="47" spans="1:17" ht="15.75" thickBot="1">
      <c r="G47" s="7"/>
      <c r="H47" s="7"/>
      <c r="I47" s="7"/>
      <c r="J47" s="7"/>
      <c r="K47" s="7"/>
      <c r="L47" s="7"/>
      <c r="M47" s="7" t="s">
        <v>210</v>
      </c>
      <c r="N47" s="7"/>
      <c r="O47" s="474"/>
      <c r="P47" s="475"/>
      <c r="Q47" s="476"/>
    </row>
    <row r="48" spans="1:17" ht="15.75" thickTop="1">
      <c r="G48" s="7"/>
      <c r="H48" s="7"/>
      <c r="I48" s="7"/>
      <c r="J48" s="7"/>
      <c r="K48" s="7"/>
      <c r="L48" s="7"/>
      <c r="M48" s="7"/>
      <c r="N48" s="7"/>
    </row>
    <row r="49" spans="1:17">
      <c r="G49" s="7"/>
      <c r="H49" s="7"/>
      <c r="I49" s="7"/>
      <c r="J49" s="7"/>
      <c r="K49" s="7"/>
      <c r="L49" s="7"/>
      <c r="M49" s="7"/>
      <c r="N49" s="7"/>
    </row>
    <row r="50" spans="1:17">
      <c r="G50" s="7"/>
      <c r="H50" s="7"/>
      <c r="I50" s="7"/>
      <c r="J50" s="7"/>
      <c r="K50" s="7"/>
      <c r="L50" s="333" t="s">
        <v>248</v>
      </c>
      <c r="M50" s="7"/>
      <c r="N50" s="7"/>
      <c r="O50" s="7"/>
      <c r="P50" s="7"/>
      <c r="Q50" s="325"/>
    </row>
    <row r="51" spans="1:17">
      <c r="G51" s="7"/>
      <c r="H51" s="7"/>
      <c r="I51" s="7"/>
      <c r="J51" s="7"/>
      <c r="K51" s="7"/>
      <c r="L51" s="333" t="s">
        <v>249</v>
      </c>
      <c r="M51" s="7"/>
      <c r="N51" s="7"/>
      <c r="O51" s="7"/>
      <c r="P51" s="7"/>
      <c r="Q51" s="325"/>
    </row>
    <row r="52" spans="1:17">
      <c r="G52" s="7"/>
      <c r="H52" s="7"/>
      <c r="I52" s="7"/>
      <c r="L52" s="333" t="s">
        <v>250</v>
      </c>
      <c r="M52" s="333"/>
      <c r="N52" s="333"/>
      <c r="O52" s="333"/>
      <c r="P52" s="333"/>
      <c r="Q52" s="319"/>
    </row>
    <row r="53" spans="1:17">
      <c r="G53" s="7"/>
      <c r="H53" s="7"/>
      <c r="I53" s="7"/>
      <c r="L53" s="333" t="s">
        <v>251</v>
      </c>
      <c r="M53" s="333"/>
      <c r="N53" s="333"/>
      <c r="O53" s="333"/>
      <c r="P53" s="333"/>
      <c r="Q53" s="396"/>
    </row>
    <row r="54" spans="1:17">
      <c r="G54" s="7"/>
      <c r="H54" s="7"/>
      <c r="I54" s="7"/>
      <c r="O54" s="397"/>
      <c r="P54" s="397"/>
      <c r="Q54" s="397"/>
    </row>
    <row r="55" spans="1:17">
      <c r="G55" s="7"/>
      <c r="H55" s="7"/>
      <c r="I55" s="7"/>
      <c r="J55" s="7"/>
      <c r="K55" s="7"/>
      <c r="L55" s="7"/>
      <c r="M55" s="7"/>
      <c r="N55" s="7"/>
      <c r="O55" s="398"/>
      <c r="P55" s="398"/>
      <c r="Q55" s="398"/>
    </row>
    <row r="56" spans="1:17">
      <c r="G56" s="7"/>
      <c r="H56" s="7"/>
      <c r="I56" s="7"/>
      <c r="J56" s="7"/>
      <c r="K56" s="7"/>
      <c r="L56" s="7"/>
      <c r="M56" s="7"/>
      <c r="N56" s="7"/>
      <c r="O56" s="127"/>
      <c r="P56" s="399"/>
      <c r="Q56" s="398"/>
    </row>
    <row r="57" spans="1:17">
      <c r="G57" s="7"/>
      <c r="H57" s="7"/>
      <c r="I57" s="7"/>
      <c r="J57" s="7"/>
      <c r="K57" s="7"/>
      <c r="L57" s="7"/>
      <c r="M57" s="7"/>
      <c r="N57" s="7"/>
      <c r="O57" s="309"/>
      <c r="P57" s="400"/>
      <c r="Q57" s="400"/>
    </row>
    <row r="58" spans="1:17">
      <c r="G58" s="7"/>
      <c r="H58" s="7"/>
      <c r="I58" s="7"/>
      <c r="J58" s="7"/>
      <c r="K58" s="7"/>
      <c r="L58" s="7"/>
      <c r="M58" s="7"/>
      <c r="N58" s="7"/>
      <c r="O58" s="396"/>
      <c r="P58" s="396"/>
      <c r="Q58" s="396"/>
    </row>
    <row r="59" spans="1:17">
      <c r="G59" s="7"/>
      <c r="H59" s="7"/>
      <c r="I59" s="7"/>
      <c r="J59" s="7"/>
      <c r="K59" s="7"/>
      <c r="L59" s="7"/>
      <c r="M59" s="7"/>
      <c r="N59" s="7"/>
      <c r="O59" s="396"/>
      <c r="P59" s="396"/>
      <c r="Q59" s="396"/>
    </row>
    <row r="60" spans="1:17">
      <c r="G60" s="7"/>
      <c r="H60" s="7"/>
      <c r="I60" s="7"/>
      <c r="J60" s="7"/>
      <c r="K60" s="7"/>
      <c r="L60" s="7"/>
      <c r="M60" s="7"/>
      <c r="N60" s="7"/>
      <c r="O60" s="397"/>
      <c r="P60" s="397"/>
      <c r="Q60" s="397"/>
    </row>
    <row r="61" spans="1:17">
      <c r="A61" s="401"/>
      <c r="G61" s="7"/>
      <c r="H61" s="7"/>
      <c r="I61" s="7"/>
      <c r="J61" s="7"/>
      <c r="K61" s="7"/>
      <c r="L61" s="7"/>
      <c r="M61" s="7"/>
      <c r="N61" s="7"/>
      <c r="O61"/>
      <c r="P61"/>
    </row>
    <row r="62" spans="1:17">
      <c r="G62" s="7"/>
      <c r="H62" s="7"/>
      <c r="I62" s="7"/>
      <c r="J62" s="7"/>
      <c r="K62" s="7"/>
      <c r="L62" s="7"/>
      <c r="M62" s="7"/>
      <c r="N62" s="7"/>
    </row>
    <row r="63" spans="1:17">
      <c r="G63" s="7"/>
      <c r="H63" s="7"/>
      <c r="I63" s="7"/>
      <c r="J63" s="7"/>
      <c r="K63" s="7"/>
      <c r="L63" s="7"/>
      <c r="M63" s="7"/>
      <c r="N63" s="7"/>
    </row>
    <row r="64" spans="1:17">
      <c r="G64" s="7"/>
      <c r="H64" s="7"/>
      <c r="I64" s="7"/>
      <c r="J64" s="7"/>
      <c r="K64" s="7"/>
      <c r="L64" s="7"/>
      <c r="M64" s="7"/>
      <c r="N64" s="7"/>
    </row>
    <row r="65" spans="3:14">
      <c r="G65" s="7"/>
      <c r="H65" s="7"/>
      <c r="I65" s="7"/>
      <c r="J65" s="7"/>
      <c r="K65" s="7"/>
      <c r="L65" s="7"/>
      <c r="M65" s="7"/>
      <c r="N65" s="7"/>
    </row>
    <row r="66" spans="3:14">
      <c r="G66" s="7"/>
      <c r="H66" s="7"/>
      <c r="I66" s="7"/>
      <c r="J66" s="7"/>
      <c r="K66" s="7"/>
      <c r="L66" s="7"/>
      <c r="M66" s="7"/>
      <c r="N66" s="7"/>
    </row>
    <row r="67" spans="3:14"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3:14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3:14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3:14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3:14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3:14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3:14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</row>
    <row r="119" spans="3:14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</row>
    <row r="120" spans="3:14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</row>
    <row r="121" spans="3:14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</row>
    <row r="122" spans="3:14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</row>
    <row r="123" spans="3:14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</row>
    <row r="124" spans="3:14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</row>
    <row r="125" spans="3:14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</row>
    <row r="126" spans="3:14"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</row>
    <row r="127" spans="3:14"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</row>
    <row r="128" spans="3:14"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56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56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56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56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56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56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56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56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56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56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56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56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56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56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56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56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56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56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56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56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56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56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56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56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56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56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56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56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56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56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56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56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56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56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56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56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56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56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56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56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56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56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56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56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56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56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56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56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56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56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56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56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56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56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56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56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56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56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56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56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56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56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56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56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56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56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56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56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56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56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56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56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56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56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56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56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56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56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56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56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56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56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56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56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56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56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56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56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56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56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56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56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56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56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56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56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56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56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56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56"/>
    </row>
    <row r="229" spans="2:1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156"/>
    </row>
    <row r="230" spans="2:1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156"/>
    </row>
    <row r="231" spans="2:1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156"/>
    </row>
    <row r="232" spans="2:1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156"/>
    </row>
    <row r="233" spans="2:1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156"/>
    </row>
    <row r="234" spans="2:1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156"/>
    </row>
    <row r="235" spans="2:1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156"/>
    </row>
    <row r="236" spans="2:15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156"/>
    </row>
    <row r="237" spans="2:15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156"/>
    </row>
    <row r="238" spans="2:1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156"/>
    </row>
    <row r="239" spans="2:15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156"/>
    </row>
  </sheetData>
  <mergeCells count="1">
    <mergeCell ref="D2:I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zoomScale="120" zoomScaleNormal="120" workbookViewId="0">
      <selection activeCell="A2" sqref="A2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customWidth="1"/>
    <col min="5" max="5" width="13.42578125" customWidth="1"/>
    <col min="6" max="6" width="9.42578125" customWidth="1"/>
  </cols>
  <sheetData>
    <row r="1" spans="1:5" ht="17.25" thickTop="1" thickBot="1">
      <c r="A1" s="367" t="s">
        <v>247</v>
      </c>
      <c r="B1" s="368"/>
      <c r="C1" s="369"/>
      <c r="D1" s="369"/>
      <c r="E1" s="370"/>
    </row>
    <row r="2" spans="1:5" ht="15.75" thickTop="1">
      <c r="A2" s="136" t="s">
        <v>255</v>
      </c>
    </row>
    <row r="4" spans="1:5" ht="14.25" customHeight="1">
      <c r="A4" s="403" t="s">
        <v>11</v>
      </c>
      <c r="B4" s="403" t="s">
        <v>10</v>
      </c>
      <c r="C4" s="403" t="s">
        <v>9</v>
      </c>
      <c r="D4" s="403" t="s">
        <v>8</v>
      </c>
      <c r="E4" s="403" t="s">
        <v>7</v>
      </c>
    </row>
    <row r="5" spans="1:5" ht="14.25" customHeight="1">
      <c r="A5" t="s">
        <v>6</v>
      </c>
      <c r="B5" t="s">
        <v>5</v>
      </c>
      <c r="C5" s="477"/>
      <c r="D5" s="478"/>
      <c r="E5" s="9">
        <v>45175</v>
      </c>
    </row>
    <row r="6" spans="1:5">
      <c r="A6" t="s">
        <v>6</v>
      </c>
      <c r="B6" t="s">
        <v>5</v>
      </c>
      <c r="C6" s="477"/>
      <c r="D6" s="478"/>
      <c r="E6" s="9">
        <v>45175</v>
      </c>
    </row>
    <row r="7" spans="1:5">
      <c r="A7" t="s">
        <v>6</v>
      </c>
      <c r="B7" t="s">
        <v>5</v>
      </c>
      <c r="C7" s="477"/>
      <c r="D7" s="478"/>
      <c r="E7" s="9">
        <v>45175</v>
      </c>
    </row>
    <row r="8" spans="1:5">
      <c r="A8" t="s">
        <v>6</v>
      </c>
      <c r="B8" t="s">
        <v>5</v>
      </c>
      <c r="C8" s="477"/>
      <c r="D8" s="478"/>
      <c r="E8" s="9">
        <v>45175</v>
      </c>
    </row>
    <row r="9" spans="1:5">
      <c r="A9" t="s">
        <v>6</v>
      </c>
      <c r="B9" t="s">
        <v>5</v>
      </c>
      <c r="C9" s="477"/>
      <c r="D9" s="478"/>
      <c r="E9" s="9">
        <v>45175</v>
      </c>
    </row>
    <row r="10" spans="1:5">
      <c r="A10" t="s">
        <v>6</v>
      </c>
      <c r="B10" t="s">
        <v>5</v>
      </c>
      <c r="C10" s="477"/>
      <c r="D10" s="478"/>
      <c r="E10" s="9">
        <v>45175</v>
      </c>
    </row>
    <row r="11" spans="1:5">
      <c r="A11" t="s">
        <v>6</v>
      </c>
      <c r="B11" t="s">
        <v>5</v>
      </c>
      <c r="C11" s="477"/>
      <c r="D11" s="478"/>
      <c r="E11" s="9">
        <v>45175</v>
      </c>
    </row>
    <row r="12" spans="1:5">
      <c r="A12" t="s">
        <v>6</v>
      </c>
      <c r="B12" t="s">
        <v>5</v>
      </c>
      <c r="C12" s="477"/>
      <c r="D12" s="478"/>
      <c r="E12" s="9">
        <v>45175</v>
      </c>
    </row>
    <row r="13" spans="1:5">
      <c r="A13" t="s">
        <v>6</v>
      </c>
      <c r="B13" t="s">
        <v>5</v>
      </c>
      <c r="C13" s="477"/>
      <c r="D13" s="478"/>
      <c r="E13" s="9">
        <v>45175</v>
      </c>
    </row>
    <row r="14" spans="1:5">
      <c r="A14" t="s">
        <v>6</v>
      </c>
      <c r="B14" t="s">
        <v>5</v>
      </c>
      <c r="C14" s="477"/>
      <c r="D14" s="478"/>
      <c r="E14" s="9">
        <v>45175</v>
      </c>
    </row>
    <row r="15" spans="1:5">
      <c r="A15" t="s">
        <v>6</v>
      </c>
      <c r="B15" t="s">
        <v>5</v>
      </c>
      <c r="C15" s="477"/>
      <c r="D15" s="478"/>
      <c r="E15" s="9">
        <v>45175</v>
      </c>
    </row>
    <row r="16" spans="1:5">
      <c r="A16" t="s">
        <v>6</v>
      </c>
      <c r="B16" t="s">
        <v>5</v>
      </c>
      <c r="C16" s="477"/>
      <c r="D16" s="478"/>
      <c r="E16" s="9">
        <v>45175</v>
      </c>
    </row>
    <row r="17" spans="1:5">
      <c r="A17" t="s">
        <v>6</v>
      </c>
      <c r="B17" t="s">
        <v>5</v>
      </c>
      <c r="C17" s="477"/>
      <c r="D17" s="478"/>
      <c r="E17" s="9">
        <v>45175</v>
      </c>
    </row>
    <row r="18" spans="1:5">
      <c r="A18" t="s">
        <v>158</v>
      </c>
      <c r="B18" t="s">
        <v>159</v>
      </c>
      <c r="C18" s="477"/>
      <c r="D18" s="478"/>
      <c r="E18" s="9">
        <v>45175</v>
      </c>
    </row>
    <row r="19" spans="1:5">
      <c r="A19" t="s">
        <v>158</v>
      </c>
      <c r="B19" t="s">
        <v>159</v>
      </c>
      <c r="C19" s="477"/>
      <c r="D19" s="478"/>
      <c r="E19" s="9">
        <v>45175</v>
      </c>
    </row>
    <row r="20" spans="1:5">
      <c r="A20" t="s">
        <v>158</v>
      </c>
      <c r="B20" t="s">
        <v>159</v>
      </c>
      <c r="C20" s="477"/>
      <c r="D20" s="478"/>
      <c r="E20" s="9">
        <v>45175</v>
      </c>
    </row>
    <row r="21" spans="1:5">
      <c r="A21" t="s">
        <v>158</v>
      </c>
      <c r="B21" t="s">
        <v>159</v>
      </c>
      <c r="C21" s="477"/>
      <c r="D21" s="478"/>
      <c r="E21" s="9">
        <v>45175</v>
      </c>
    </row>
    <row r="22" spans="1:5">
      <c r="A22" t="s">
        <v>158</v>
      </c>
      <c r="B22" t="s">
        <v>159</v>
      </c>
      <c r="C22" s="477"/>
      <c r="D22" s="478"/>
      <c r="E22" s="9">
        <v>45175</v>
      </c>
    </row>
    <row r="23" spans="1:5">
      <c r="A23" t="s">
        <v>158</v>
      </c>
      <c r="B23" t="s">
        <v>159</v>
      </c>
      <c r="C23" s="477"/>
      <c r="D23" s="478"/>
      <c r="E23" s="9">
        <v>45175</v>
      </c>
    </row>
    <row r="24" spans="1:5">
      <c r="A24" t="s">
        <v>158</v>
      </c>
      <c r="B24" t="s">
        <v>159</v>
      </c>
      <c r="C24" s="477"/>
      <c r="D24" s="478"/>
      <c r="E24" s="9">
        <v>45175</v>
      </c>
    </row>
    <row r="25" spans="1:5">
      <c r="A25" t="s">
        <v>158</v>
      </c>
      <c r="B25" t="s">
        <v>159</v>
      </c>
      <c r="C25" s="477"/>
      <c r="D25" s="478"/>
      <c r="E25" s="9">
        <v>45175</v>
      </c>
    </row>
    <row r="26" spans="1:5">
      <c r="A26" t="s">
        <v>158</v>
      </c>
      <c r="B26" t="s">
        <v>159</v>
      </c>
      <c r="C26" s="477"/>
      <c r="D26" s="478"/>
      <c r="E26" s="9">
        <v>45175</v>
      </c>
    </row>
    <row r="27" spans="1:5">
      <c r="A27" t="s">
        <v>158</v>
      </c>
      <c r="B27" t="s">
        <v>159</v>
      </c>
      <c r="C27" s="477"/>
      <c r="D27" s="478"/>
      <c r="E27" s="9">
        <v>45175</v>
      </c>
    </row>
    <row r="28" spans="1:5">
      <c r="A28" t="s">
        <v>158</v>
      </c>
      <c r="B28" t="s">
        <v>159</v>
      </c>
      <c r="C28" s="477"/>
      <c r="D28" s="478"/>
      <c r="E28" s="9">
        <v>45175</v>
      </c>
    </row>
    <row r="29" spans="1:5">
      <c r="A29" t="s">
        <v>158</v>
      </c>
      <c r="B29" t="s">
        <v>159</v>
      </c>
      <c r="C29" s="477"/>
      <c r="D29" s="478"/>
      <c r="E29" s="9">
        <v>45175</v>
      </c>
    </row>
    <row r="30" spans="1:5">
      <c r="A30" t="s">
        <v>158</v>
      </c>
      <c r="B30" t="s">
        <v>159</v>
      </c>
      <c r="C30" s="477"/>
      <c r="D30" s="478"/>
      <c r="E30" s="9">
        <v>45175</v>
      </c>
    </row>
    <row r="31" spans="1:5">
      <c r="A31" t="s">
        <v>160</v>
      </c>
      <c r="B31" t="s">
        <v>161</v>
      </c>
      <c r="C31" s="477"/>
      <c r="D31" s="478"/>
      <c r="E31" s="9">
        <v>45175</v>
      </c>
    </row>
    <row r="32" spans="1:5">
      <c r="A32" t="s">
        <v>160</v>
      </c>
      <c r="B32" t="s">
        <v>161</v>
      </c>
      <c r="C32" s="477"/>
      <c r="D32" s="478"/>
      <c r="E32" s="9">
        <v>45175</v>
      </c>
    </row>
    <row r="33" spans="1:5">
      <c r="A33" t="s">
        <v>160</v>
      </c>
      <c r="B33" t="s">
        <v>161</v>
      </c>
      <c r="C33" s="477"/>
      <c r="D33" s="478"/>
      <c r="E33" s="9">
        <v>45175</v>
      </c>
    </row>
    <row r="34" spans="1:5">
      <c r="A34" t="s">
        <v>160</v>
      </c>
      <c r="B34" t="s">
        <v>161</v>
      </c>
      <c r="C34" s="477"/>
      <c r="D34" s="478"/>
      <c r="E34" s="9">
        <v>45175</v>
      </c>
    </row>
    <row r="35" spans="1:5">
      <c r="A35" t="s">
        <v>160</v>
      </c>
      <c r="B35" t="s">
        <v>161</v>
      </c>
      <c r="C35" s="477"/>
      <c r="D35" s="478"/>
      <c r="E35" s="9">
        <v>45175</v>
      </c>
    </row>
    <row r="36" spans="1:5">
      <c r="A36" t="s">
        <v>160</v>
      </c>
      <c r="B36" t="s">
        <v>161</v>
      </c>
      <c r="C36" s="477"/>
      <c r="D36" s="478"/>
      <c r="E36" s="9">
        <v>45175</v>
      </c>
    </row>
    <row r="37" spans="1:5">
      <c r="A37" t="s">
        <v>160</v>
      </c>
      <c r="B37" t="s">
        <v>161</v>
      </c>
      <c r="C37" s="477"/>
      <c r="D37" s="478"/>
      <c r="E37" s="9">
        <v>45175</v>
      </c>
    </row>
    <row r="38" spans="1:5">
      <c r="A38" t="s">
        <v>160</v>
      </c>
      <c r="B38" t="s">
        <v>161</v>
      </c>
      <c r="C38" s="477"/>
      <c r="D38" s="478"/>
      <c r="E38" s="9">
        <v>45175</v>
      </c>
    </row>
    <row r="39" spans="1:5">
      <c r="A39" t="s">
        <v>160</v>
      </c>
      <c r="B39" t="s">
        <v>161</v>
      </c>
      <c r="C39" s="477"/>
      <c r="D39" s="478"/>
      <c r="E39" s="9">
        <v>45175</v>
      </c>
    </row>
    <row r="40" spans="1:5">
      <c r="A40" t="s">
        <v>160</v>
      </c>
      <c r="B40" t="s">
        <v>161</v>
      </c>
      <c r="C40" s="477"/>
      <c r="D40" s="478"/>
      <c r="E40" s="9">
        <v>45175</v>
      </c>
    </row>
    <row r="41" spans="1:5">
      <c r="A41" t="s">
        <v>160</v>
      </c>
      <c r="B41" t="s">
        <v>161</v>
      </c>
      <c r="C41" s="477"/>
      <c r="D41" s="478"/>
      <c r="E41" s="9">
        <v>45175</v>
      </c>
    </row>
    <row r="42" spans="1:5">
      <c r="A42" t="s">
        <v>160</v>
      </c>
      <c r="B42" t="s">
        <v>161</v>
      </c>
      <c r="C42" s="477"/>
      <c r="D42" s="478"/>
      <c r="E42" s="9">
        <v>45175</v>
      </c>
    </row>
    <row r="43" spans="1:5">
      <c r="A43" t="s">
        <v>160</v>
      </c>
      <c r="B43" t="s">
        <v>161</v>
      </c>
      <c r="C43" s="477"/>
      <c r="D43" s="478"/>
      <c r="E43" s="9">
        <v>45175</v>
      </c>
    </row>
    <row r="44" spans="1:5">
      <c r="A44" t="s">
        <v>162</v>
      </c>
      <c r="B44" t="s">
        <v>163</v>
      </c>
      <c r="C44" s="477"/>
      <c r="D44" s="478"/>
      <c r="E44" s="9">
        <v>45175</v>
      </c>
    </row>
    <row r="45" spans="1:5">
      <c r="A45" t="s">
        <v>162</v>
      </c>
      <c r="B45" t="s">
        <v>163</v>
      </c>
      <c r="C45" s="477"/>
      <c r="D45" s="478"/>
      <c r="E45" s="9">
        <v>45175</v>
      </c>
    </row>
    <row r="46" spans="1:5">
      <c r="A46" t="s">
        <v>162</v>
      </c>
      <c r="B46" t="s">
        <v>163</v>
      </c>
      <c r="C46" s="477"/>
      <c r="D46" s="478"/>
      <c r="E46" s="9">
        <v>45175</v>
      </c>
    </row>
    <row r="47" spans="1:5">
      <c r="A47" t="s">
        <v>162</v>
      </c>
      <c r="B47" t="s">
        <v>163</v>
      </c>
      <c r="C47" s="477"/>
      <c r="D47" s="478"/>
      <c r="E47" s="9">
        <v>45175</v>
      </c>
    </row>
    <row r="48" spans="1:5">
      <c r="A48" t="s">
        <v>162</v>
      </c>
      <c r="B48" t="s">
        <v>163</v>
      </c>
      <c r="C48" s="477"/>
      <c r="D48" s="478"/>
      <c r="E48" s="9">
        <v>45175</v>
      </c>
    </row>
    <row r="49" spans="1:5">
      <c r="A49" t="s">
        <v>162</v>
      </c>
      <c r="B49" t="s">
        <v>163</v>
      </c>
      <c r="C49" s="477"/>
      <c r="D49" s="478"/>
      <c r="E49" s="9">
        <v>45175</v>
      </c>
    </row>
    <row r="50" spans="1:5">
      <c r="A50" t="s">
        <v>162</v>
      </c>
      <c r="B50" t="s">
        <v>163</v>
      </c>
      <c r="C50" s="477"/>
      <c r="D50" s="478"/>
      <c r="E50" s="9">
        <v>45175</v>
      </c>
    </row>
    <row r="51" spans="1:5">
      <c r="A51" t="s">
        <v>162</v>
      </c>
      <c r="B51" t="s">
        <v>163</v>
      </c>
      <c r="C51" s="477"/>
      <c r="D51" s="478"/>
      <c r="E51" s="9">
        <v>45175</v>
      </c>
    </row>
    <row r="52" spans="1:5">
      <c r="A52" t="s">
        <v>162</v>
      </c>
      <c r="B52" t="s">
        <v>163</v>
      </c>
      <c r="C52" s="477"/>
      <c r="D52" s="478"/>
      <c r="E52" s="9">
        <v>45175</v>
      </c>
    </row>
    <row r="53" spans="1:5">
      <c r="A53" t="s">
        <v>162</v>
      </c>
      <c r="B53" t="s">
        <v>163</v>
      </c>
      <c r="C53" s="477"/>
      <c r="D53" s="478"/>
      <c r="E53" s="9">
        <v>45175</v>
      </c>
    </row>
    <row r="54" spans="1:5">
      <c r="A54" t="s">
        <v>162</v>
      </c>
      <c r="B54" t="s">
        <v>163</v>
      </c>
      <c r="C54" s="477"/>
      <c r="D54" s="478"/>
      <c r="E54" s="9">
        <v>45175</v>
      </c>
    </row>
    <row r="55" spans="1:5">
      <c r="A55" t="s">
        <v>162</v>
      </c>
      <c r="B55" t="s">
        <v>163</v>
      </c>
      <c r="C55" s="477"/>
      <c r="D55" s="478"/>
      <c r="E55" s="9">
        <v>45175</v>
      </c>
    </row>
    <row r="56" spans="1:5" ht="15.75" thickBot="1">
      <c r="A56" t="s">
        <v>162</v>
      </c>
      <c r="B56" t="s">
        <v>163</v>
      </c>
      <c r="C56" s="479"/>
      <c r="D56" s="480"/>
      <c r="E56" s="9">
        <v>45175</v>
      </c>
    </row>
    <row r="57" spans="1:5" ht="15.75" thickTop="1"/>
  </sheetData>
  <autoFilter ref="A4:E56"/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7"/>
  <sheetViews>
    <sheetView workbookViewId="0">
      <pane xSplit="2" ySplit="3" topLeftCell="C4" activePane="bottomRight" state="frozen"/>
      <selection activeCell="I41" sqref="I41"/>
      <selection pane="topRight" activeCell="I41" sqref="I41"/>
      <selection pane="bottomLeft" activeCell="I41" sqref="I41"/>
      <selection pane="bottomRight" activeCell="A2" sqref="A2"/>
    </sheetView>
  </sheetViews>
  <sheetFormatPr defaultRowHeight="15" outlineLevelRow="1"/>
  <cols>
    <col min="1" max="1" width="17" customWidth="1"/>
    <col min="2" max="2" width="9.140625" style="83"/>
    <col min="3" max="3" width="10.5703125" style="83" bestFit="1" customWidth="1"/>
    <col min="4" max="5" width="11.5703125" style="83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7" ht="15.75" thickTop="1">
      <c r="A2" s="136" t="s">
        <v>255</v>
      </c>
    </row>
    <row r="3" spans="1:7" ht="15.75" thickBot="1">
      <c r="A3" s="136" t="s">
        <v>93</v>
      </c>
      <c r="B3" s="135" t="s">
        <v>92</v>
      </c>
      <c r="C3" s="135"/>
      <c r="D3" s="135"/>
      <c r="E3" s="135"/>
    </row>
    <row r="4" spans="1:7" ht="15.75" outlineLevel="1" thickTop="1">
      <c r="A4" s="9">
        <v>44900</v>
      </c>
      <c r="B4" s="481"/>
    </row>
    <row r="5" spans="1:7" outlineLevel="1">
      <c r="A5" s="9">
        <v>44901</v>
      </c>
      <c r="B5" s="482"/>
    </row>
    <row r="6" spans="1:7" outlineLevel="1">
      <c r="A6" s="9">
        <v>44902</v>
      </c>
      <c r="B6" s="482"/>
    </row>
    <row r="7" spans="1:7" outlineLevel="1">
      <c r="A7" s="9">
        <v>44903</v>
      </c>
      <c r="B7" s="482"/>
    </row>
    <row r="8" spans="1:7" outlineLevel="1">
      <c r="A8" s="9">
        <v>44904</v>
      </c>
      <c r="B8" s="482"/>
    </row>
    <row r="9" spans="1:7" outlineLevel="1">
      <c r="A9" s="9">
        <v>44907</v>
      </c>
      <c r="B9" s="482"/>
    </row>
    <row r="10" spans="1:7" outlineLevel="1">
      <c r="A10" s="9">
        <v>44908</v>
      </c>
      <c r="B10" s="482"/>
    </row>
    <row r="11" spans="1:7" outlineLevel="1">
      <c r="A11" s="9">
        <v>44909</v>
      </c>
      <c r="B11" s="482"/>
    </row>
    <row r="12" spans="1:7" outlineLevel="1">
      <c r="A12" s="9">
        <v>44910</v>
      </c>
      <c r="B12" s="482"/>
    </row>
    <row r="13" spans="1:7" outlineLevel="1">
      <c r="A13" s="9">
        <v>44911</v>
      </c>
      <c r="B13" s="482"/>
    </row>
    <row r="14" spans="1:7" outlineLevel="1">
      <c r="A14" s="9">
        <v>44914</v>
      </c>
      <c r="B14" s="482"/>
    </row>
    <row r="15" spans="1:7" outlineLevel="1">
      <c r="A15" s="9">
        <v>44915</v>
      </c>
      <c r="B15" s="482"/>
    </row>
    <row r="16" spans="1:7" outlineLevel="1">
      <c r="A16" s="9">
        <v>44916</v>
      </c>
      <c r="B16" s="482"/>
    </row>
    <row r="17" spans="1:2" outlineLevel="1">
      <c r="A17" s="9">
        <v>44917</v>
      </c>
      <c r="B17" s="482"/>
    </row>
    <row r="18" spans="1:2" outlineLevel="1">
      <c r="A18" s="9">
        <v>44918</v>
      </c>
      <c r="B18" s="482"/>
    </row>
    <row r="19" spans="1:2" outlineLevel="1">
      <c r="A19" s="9">
        <v>44922</v>
      </c>
      <c r="B19" s="482"/>
    </row>
    <row r="20" spans="1:2" outlineLevel="1">
      <c r="A20" s="9">
        <v>44923</v>
      </c>
      <c r="B20" s="482"/>
    </row>
    <row r="21" spans="1:2" outlineLevel="1">
      <c r="A21" s="9">
        <v>44924</v>
      </c>
      <c r="B21" s="482"/>
    </row>
    <row r="22" spans="1:2" outlineLevel="1">
      <c r="A22" s="9">
        <v>44925</v>
      </c>
      <c r="B22" s="482"/>
    </row>
    <row r="23" spans="1:2" outlineLevel="1">
      <c r="A23" s="9">
        <v>44929</v>
      </c>
      <c r="B23" s="482"/>
    </row>
    <row r="24" spans="1:2" outlineLevel="1">
      <c r="A24" s="9">
        <v>44930</v>
      </c>
      <c r="B24" s="482"/>
    </row>
    <row r="25" spans="1:2" outlineLevel="1">
      <c r="A25" s="9">
        <v>44931</v>
      </c>
      <c r="B25" s="482"/>
    </row>
    <row r="26" spans="1:2" outlineLevel="1">
      <c r="A26" s="9">
        <v>44932</v>
      </c>
      <c r="B26" s="482"/>
    </row>
    <row r="27" spans="1:2" outlineLevel="1">
      <c r="A27" s="9">
        <v>44935</v>
      </c>
      <c r="B27" s="482"/>
    </row>
    <row r="28" spans="1:2" outlineLevel="1">
      <c r="A28" s="9">
        <v>44936</v>
      </c>
      <c r="B28" s="482"/>
    </row>
    <row r="29" spans="1:2" outlineLevel="1">
      <c r="A29" s="9">
        <v>44937</v>
      </c>
      <c r="B29" s="482"/>
    </row>
    <row r="30" spans="1:2" outlineLevel="1">
      <c r="A30" s="9">
        <v>44938</v>
      </c>
      <c r="B30" s="482"/>
    </row>
    <row r="31" spans="1:2" outlineLevel="1">
      <c r="A31" s="9">
        <v>44939</v>
      </c>
      <c r="B31" s="482"/>
    </row>
    <row r="32" spans="1:2" outlineLevel="1">
      <c r="A32" s="9">
        <v>44943</v>
      </c>
      <c r="B32" s="482"/>
    </row>
    <row r="33" spans="1:2" outlineLevel="1">
      <c r="A33" s="9">
        <v>44944</v>
      </c>
      <c r="B33" s="482"/>
    </row>
    <row r="34" spans="1:2" outlineLevel="1">
      <c r="A34" s="9">
        <v>44945</v>
      </c>
      <c r="B34" s="482"/>
    </row>
    <row r="35" spans="1:2" outlineLevel="1">
      <c r="A35" s="9">
        <v>44946</v>
      </c>
      <c r="B35" s="482"/>
    </row>
    <row r="36" spans="1:2" outlineLevel="1">
      <c r="A36" s="9">
        <v>44949</v>
      </c>
      <c r="B36" s="482"/>
    </row>
    <row r="37" spans="1:2" outlineLevel="1">
      <c r="A37" s="9">
        <v>44950</v>
      </c>
      <c r="B37" s="482"/>
    </row>
    <row r="38" spans="1:2" outlineLevel="1">
      <c r="A38" s="9">
        <v>44951</v>
      </c>
      <c r="B38" s="482"/>
    </row>
    <row r="39" spans="1:2" outlineLevel="1">
      <c r="A39" s="9">
        <v>44952</v>
      </c>
      <c r="B39" s="482"/>
    </row>
    <row r="40" spans="1:2" outlineLevel="1">
      <c r="A40" s="9">
        <v>44953</v>
      </c>
      <c r="B40" s="482"/>
    </row>
    <row r="41" spans="1:2" outlineLevel="1">
      <c r="A41" s="9">
        <v>44956</v>
      </c>
      <c r="B41" s="482"/>
    </row>
    <row r="42" spans="1:2" outlineLevel="1">
      <c r="A42" s="9">
        <v>44957</v>
      </c>
      <c r="B42" s="482"/>
    </row>
    <row r="43" spans="1:2" outlineLevel="1">
      <c r="A43" s="9">
        <v>44958</v>
      </c>
      <c r="B43" s="482"/>
    </row>
    <row r="44" spans="1:2" outlineLevel="1">
      <c r="A44" s="9">
        <v>44959</v>
      </c>
      <c r="B44" s="482"/>
    </row>
    <row r="45" spans="1:2" outlineLevel="1">
      <c r="A45" s="9">
        <v>44960</v>
      </c>
      <c r="B45" s="482"/>
    </row>
    <row r="46" spans="1:2" outlineLevel="1">
      <c r="A46" s="9">
        <v>44963</v>
      </c>
      <c r="B46" s="482"/>
    </row>
    <row r="47" spans="1:2" outlineLevel="1">
      <c r="A47" s="9">
        <v>44964</v>
      </c>
      <c r="B47" s="482"/>
    </row>
    <row r="48" spans="1:2" outlineLevel="1">
      <c r="A48" s="9">
        <v>44965</v>
      </c>
      <c r="B48" s="482"/>
    </row>
    <row r="49" spans="1:2" outlineLevel="1">
      <c r="A49" s="9">
        <v>44966</v>
      </c>
      <c r="B49" s="482"/>
    </row>
    <row r="50" spans="1:2" outlineLevel="1">
      <c r="A50" s="9">
        <v>44967</v>
      </c>
      <c r="B50" s="482"/>
    </row>
    <row r="51" spans="1:2" outlineLevel="1">
      <c r="A51" s="9">
        <v>44970</v>
      </c>
      <c r="B51" s="482"/>
    </row>
    <row r="52" spans="1:2" outlineLevel="1">
      <c r="A52" s="9">
        <v>44971</v>
      </c>
      <c r="B52" s="482"/>
    </row>
    <row r="53" spans="1:2" outlineLevel="1">
      <c r="A53" s="9">
        <v>44972</v>
      </c>
      <c r="B53" s="482"/>
    </row>
    <row r="54" spans="1:2" outlineLevel="1">
      <c r="A54" s="9">
        <v>44973</v>
      </c>
      <c r="B54" s="482"/>
    </row>
    <row r="55" spans="1:2" outlineLevel="1">
      <c r="A55" s="9">
        <v>44974</v>
      </c>
      <c r="B55" s="482"/>
    </row>
    <row r="56" spans="1:2" outlineLevel="1">
      <c r="A56" s="9">
        <v>44978</v>
      </c>
      <c r="B56" s="482"/>
    </row>
    <row r="57" spans="1:2" outlineLevel="1">
      <c r="A57" s="9">
        <v>44979</v>
      </c>
      <c r="B57" s="482"/>
    </row>
    <row r="58" spans="1:2" outlineLevel="1">
      <c r="A58" s="9">
        <v>44980</v>
      </c>
      <c r="B58" s="482"/>
    </row>
    <row r="59" spans="1:2" outlineLevel="1">
      <c r="A59" s="9">
        <v>44981</v>
      </c>
      <c r="B59" s="482"/>
    </row>
    <row r="60" spans="1:2" outlineLevel="1">
      <c r="A60" s="9">
        <v>44984</v>
      </c>
      <c r="B60" s="482"/>
    </row>
    <row r="61" spans="1:2" outlineLevel="1">
      <c r="A61" s="9">
        <v>44985</v>
      </c>
      <c r="B61" s="482"/>
    </row>
    <row r="62" spans="1:2" outlineLevel="1">
      <c r="A62" s="9">
        <v>44986</v>
      </c>
      <c r="B62" s="482"/>
    </row>
    <row r="63" spans="1:2">
      <c r="A63" s="9">
        <v>44987</v>
      </c>
      <c r="B63" s="482"/>
    </row>
    <row r="64" spans="1:2">
      <c r="A64" s="9">
        <v>44988</v>
      </c>
      <c r="B64" s="482"/>
    </row>
    <row r="65" spans="1:8">
      <c r="A65" s="9">
        <v>44991</v>
      </c>
      <c r="B65" s="482"/>
    </row>
    <row r="66" spans="1:8">
      <c r="A66" s="69">
        <v>44992</v>
      </c>
      <c r="B66" s="482"/>
      <c r="F66" s="83"/>
      <c r="G66" s="83"/>
      <c r="H66" s="83"/>
    </row>
    <row r="67" spans="1:8">
      <c r="A67" s="69">
        <v>44993</v>
      </c>
      <c r="B67" s="482"/>
    </row>
    <row r="68" spans="1:8">
      <c r="A68" s="69">
        <v>44994</v>
      </c>
      <c r="B68" s="482"/>
    </row>
    <row r="69" spans="1:8">
      <c r="A69" s="69">
        <v>44995</v>
      </c>
      <c r="B69" s="482"/>
    </row>
    <row r="70" spans="1:8">
      <c r="A70" s="69">
        <v>44998</v>
      </c>
      <c r="B70" s="482"/>
    </row>
    <row r="71" spans="1:8">
      <c r="A71" s="69">
        <v>44999</v>
      </c>
      <c r="B71" s="482"/>
    </row>
    <row r="72" spans="1:8">
      <c r="A72" s="69">
        <v>45000</v>
      </c>
      <c r="B72" s="482"/>
    </row>
    <row r="73" spans="1:8">
      <c r="A73" s="69">
        <v>45001</v>
      </c>
      <c r="B73" s="482"/>
    </row>
    <row r="74" spans="1:8">
      <c r="A74" s="69">
        <v>45002</v>
      </c>
      <c r="B74" s="482"/>
    </row>
    <row r="75" spans="1:8">
      <c r="A75" s="69">
        <v>45005</v>
      </c>
      <c r="B75" s="482"/>
    </row>
    <row r="76" spans="1:8">
      <c r="A76" s="69">
        <v>45006</v>
      </c>
      <c r="B76" s="482"/>
    </row>
    <row r="77" spans="1:8">
      <c r="A77" s="69">
        <v>45007</v>
      </c>
      <c r="B77" s="482"/>
    </row>
    <row r="78" spans="1:8">
      <c r="A78" s="69">
        <v>45008</v>
      </c>
      <c r="B78" s="482"/>
    </row>
    <row r="79" spans="1:8">
      <c r="A79" s="69">
        <v>45009</v>
      </c>
      <c r="B79" s="482"/>
    </row>
    <row r="80" spans="1:8">
      <c r="A80" s="69">
        <v>45012</v>
      </c>
      <c r="B80" s="482"/>
    </row>
    <row r="81" spans="1:2">
      <c r="A81" s="69">
        <v>45013</v>
      </c>
      <c r="B81" s="482"/>
    </row>
    <row r="82" spans="1:2">
      <c r="A82" s="69">
        <v>45014</v>
      </c>
      <c r="B82" s="482"/>
    </row>
    <row r="83" spans="1:2">
      <c r="A83" s="69">
        <v>45015</v>
      </c>
      <c r="B83" s="482"/>
    </row>
    <row r="84" spans="1:2">
      <c r="A84" s="69">
        <v>45016</v>
      </c>
      <c r="B84" s="482"/>
    </row>
    <row r="85" spans="1:2">
      <c r="A85" s="69">
        <v>45019</v>
      </c>
      <c r="B85" s="482"/>
    </row>
    <row r="86" spans="1:2">
      <c r="A86" s="69">
        <v>45020</v>
      </c>
      <c r="B86" s="482"/>
    </row>
    <row r="87" spans="1:2">
      <c r="A87" s="69">
        <v>45021</v>
      </c>
      <c r="B87" s="482"/>
    </row>
    <row r="88" spans="1:2">
      <c r="A88" s="69">
        <v>45022</v>
      </c>
      <c r="B88" s="482"/>
    </row>
    <row r="89" spans="1:2">
      <c r="A89" s="69">
        <v>45026</v>
      </c>
      <c r="B89" s="482"/>
    </row>
    <row r="90" spans="1:2">
      <c r="A90" s="69">
        <v>45027</v>
      </c>
      <c r="B90" s="482"/>
    </row>
    <row r="91" spans="1:2">
      <c r="A91" s="69">
        <v>45028</v>
      </c>
      <c r="B91" s="482"/>
    </row>
    <row r="92" spans="1:2">
      <c r="A92" s="69">
        <v>45029</v>
      </c>
      <c r="B92" s="482"/>
    </row>
    <row r="93" spans="1:2">
      <c r="A93" s="69">
        <v>45030</v>
      </c>
      <c r="B93" s="482"/>
    </row>
    <row r="94" spans="1:2">
      <c r="A94" s="69">
        <v>45033</v>
      </c>
      <c r="B94" s="482"/>
    </row>
    <row r="95" spans="1:2">
      <c r="A95" s="69">
        <v>45034</v>
      </c>
      <c r="B95" s="482"/>
    </row>
    <row r="96" spans="1:2">
      <c r="A96" s="69">
        <v>45035</v>
      </c>
      <c r="B96" s="482"/>
    </row>
    <row r="97" spans="1:13">
      <c r="A97" s="69">
        <v>45036</v>
      </c>
      <c r="B97" s="482"/>
    </row>
    <row r="98" spans="1:13">
      <c r="A98" s="69">
        <v>45037</v>
      </c>
      <c r="B98" s="482"/>
    </row>
    <row r="99" spans="1:13">
      <c r="A99" s="69">
        <v>45040</v>
      </c>
      <c r="B99" s="482"/>
    </row>
    <row r="100" spans="1:13">
      <c r="A100" s="69">
        <v>45041</v>
      </c>
      <c r="B100" s="482"/>
    </row>
    <row r="101" spans="1:13">
      <c r="A101" s="69">
        <v>45042</v>
      </c>
      <c r="B101" s="482"/>
    </row>
    <row r="102" spans="1:13">
      <c r="A102" s="69">
        <v>45043</v>
      </c>
      <c r="B102" s="482"/>
    </row>
    <row r="103" spans="1:13">
      <c r="A103" s="69">
        <v>45044</v>
      </c>
      <c r="B103" s="482"/>
    </row>
    <row r="104" spans="1:13">
      <c r="A104" s="362">
        <v>45047</v>
      </c>
      <c r="B104" s="482"/>
    </row>
    <row r="105" spans="1:13">
      <c r="A105" s="69">
        <v>45048</v>
      </c>
      <c r="B105" s="482"/>
      <c r="E105" s="206"/>
      <c r="F105" s="214" t="s">
        <v>105</v>
      </c>
      <c r="G105" s="214" t="s">
        <v>106</v>
      </c>
      <c r="H105" s="214" t="s">
        <v>109</v>
      </c>
      <c r="I105" s="214" t="s">
        <v>214</v>
      </c>
    </row>
    <row r="106" spans="1:13">
      <c r="A106" s="69">
        <v>45049</v>
      </c>
      <c r="B106" s="482"/>
      <c r="E106" s="207" t="s">
        <v>107</v>
      </c>
      <c r="F106" s="211">
        <v>44985</v>
      </c>
      <c r="G106" s="211">
        <v>44992</v>
      </c>
      <c r="H106" s="212">
        <v>48.5</v>
      </c>
      <c r="I106" s="212">
        <v>22.2</v>
      </c>
      <c r="M106" t="s">
        <v>213</v>
      </c>
    </row>
    <row r="107" spans="1:13">
      <c r="A107" s="69">
        <v>45050</v>
      </c>
      <c r="B107" s="482"/>
      <c r="E107" s="207" t="s">
        <v>108</v>
      </c>
      <c r="F107" s="211">
        <v>45077</v>
      </c>
      <c r="G107" s="211">
        <v>45084</v>
      </c>
      <c r="H107" s="212">
        <v>56.01</v>
      </c>
      <c r="I107" s="212">
        <v>22.2</v>
      </c>
    </row>
    <row r="108" spans="1:13">
      <c r="A108" s="69">
        <v>45051</v>
      </c>
      <c r="B108" s="482"/>
      <c r="E108" s="207" t="s">
        <v>113</v>
      </c>
      <c r="F108" s="211">
        <v>45147</v>
      </c>
      <c r="G108" s="213"/>
      <c r="H108" s="212">
        <v>51.9</v>
      </c>
      <c r="I108" s="212"/>
    </row>
    <row r="109" spans="1:13">
      <c r="A109" s="69">
        <v>45054</v>
      </c>
      <c r="B109" s="482"/>
      <c r="E109" s="207" t="s">
        <v>110</v>
      </c>
      <c r="F109" s="211">
        <v>45168</v>
      </c>
      <c r="G109" s="211">
        <v>45175</v>
      </c>
      <c r="H109" s="212">
        <v>63.03</v>
      </c>
      <c r="I109" s="212">
        <v>22.2</v>
      </c>
    </row>
    <row r="110" spans="1:13">
      <c r="A110" s="69">
        <v>45055</v>
      </c>
      <c r="B110" s="482"/>
      <c r="E110" s="207" t="s">
        <v>112</v>
      </c>
      <c r="F110" s="213"/>
      <c r="G110" s="213"/>
      <c r="H110" s="213"/>
      <c r="I110" s="213"/>
    </row>
    <row r="111" spans="1:13">
      <c r="A111" s="69">
        <v>45056</v>
      </c>
      <c r="B111" s="482"/>
      <c r="E111" s="207" t="s">
        <v>114</v>
      </c>
      <c r="F111" s="213"/>
      <c r="G111" s="213"/>
      <c r="H111" s="213"/>
      <c r="I111" s="213"/>
    </row>
    <row r="112" spans="1:13">
      <c r="A112" s="69">
        <v>45057</v>
      </c>
      <c r="B112" s="482"/>
      <c r="E112" s="207" t="s">
        <v>111</v>
      </c>
      <c r="F112" s="213"/>
      <c r="G112" s="213"/>
      <c r="H112" s="213"/>
      <c r="I112" s="213"/>
    </row>
    <row r="113" spans="1:9">
      <c r="A113" s="69">
        <v>45058</v>
      </c>
      <c r="B113" s="482"/>
      <c r="E113" s="208"/>
      <c r="F113" s="209"/>
      <c r="G113" s="209"/>
      <c r="H113" s="209"/>
      <c r="I113" s="210"/>
    </row>
    <row r="114" spans="1:9">
      <c r="A114" s="69">
        <v>45061</v>
      </c>
      <c r="B114" s="482"/>
    </row>
    <row r="115" spans="1:9">
      <c r="A115" s="69">
        <v>45062</v>
      </c>
      <c r="B115" s="482"/>
    </row>
    <row r="116" spans="1:9">
      <c r="A116" s="69">
        <v>45063</v>
      </c>
      <c r="B116" s="482"/>
    </row>
    <row r="117" spans="1:9">
      <c r="A117" s="69">
        <v>45064</v>
      </c>
      <c r="B117" s="482"/>
    </row>
    <row r="118" spans="1:9">
      <c r="A118" s="69">
        <v>45065</v>
      </c>
      <c r="B118" s="482"/>
    </row>
    <row r="119" spans="1:9">
      <c r="A119" s="69">
        <v>45068</v>
      </c>
      <c r="B119" s="482"/>
    </row>
    <row r="120" spans="1:9">
      <c r="A120" s="69">
        <v>45069</v>
      </c>
      <c r="B120" s="482"/>
    </row>
    <row r="121" spans="1:9">
      <c r="A121" s="69">
        <v>45070</v>
      </c>
      <c r="B121" s="482"/>
    </row>
    <row r="122" spans="1:9">
      <c r="A122" s="69">
        <v>45071</v>
      </c>
      <c r="B122" s="482"/>
    </row>
    <row r="123" spans="1:9">
      <c r="A123" s="69">
        <v>45072</v>
      </c>
      <c r="B123" s="482"/>
    </row>
    <row r="124" spans="1:9">
      <c r="A124" s="69">
        <v>45076</v>
      </c>
      <c r="B124" s="482"/>
    </row>
    <row r="125" spans="1:9">
      <c r="A125" s="69">
        <v>45077</v>
      </c>
      <c r="B125" s="482"/>
    </row>
    <row r="126" spans="1:9">
      <c r="A126" s="69">
        <v>45078</v>
      </c>
      <c r="B126" s="482"/>
    </row>
    <row r="127" spans="1:9">
      <c r="A127" s="69">
        <v>45079</v>
      </c>
      <c r="B127" s="482"/>
    </row>
    <row r="128" spans="1:9">
      <c r="A128" s="69">
        <v>45082</v>
      </c>
      <c r="B128" s="482"/>
    </row>
    <row r="129" spans="1:2">
      <c r="A129" s="69">
        <v>45083</v>
      </c>
      <c r="B129" s="482"/>
    </row>
    <row r="130" spans="1:2">
      <c r="A130" s="69">
        <v>45084</v>
      </c>
      <c r="B130" s="482"/>
    </row>
    <row r="131" spans="1:2">
      <c r="A131" s="69">
        <v>45085</v>
      </c>
      <c r="B131" s="482"/>
    </row>
    <row r="132" spans="1:2">
      <c r="A132" s="69">
        <v>45086</v>
      </c>
      <c r="B132" s="482"/>
    </row>
    <row r="133" spans="1:2">
      <c r="A133" s="69">
        <v>45089</v>
      </c>
      <c r="B133" s="482"/>
    </row>
    <row r="134" spans="1:2">
      <c r="A134" s="69">
        <v>45090</v>
      </c>
      <c r="B134" s="482"/>
    </row>
    <row r="135" spans="1:2">
      <c r="A135" s="69">
        <v>45091</v>
      </c>
      <c r="B135" s="482"/>
    </row>
    <row r="136" spans="1:2">
      <c r="A136" s="69">
        <v>45092</v>
      </c>
      <c r="B136" s="482"/>
    </row>
    <row r="137" spans="1:2">
      <c r="A137" s="69">
        <v>45093</v>
      </c>
      <c r="B137" s="482"/>
    </row>
    <row r="138" spans="1:2">
      <c r="A138" s="69">
        <v>45096</v>
      </c>
      <c r="B138" s="482"/>
    </row>
    <row r="139" spans="1:2">
      <c r="A139" s="359">
        <v>45097</v>
      </c>
      <c r="B139" s="482"/>
    </row>
    <row r="140" spans="1:2">
      <c r="A140" s="69">
        <v>45098</v>
      </c>
      <c r="B140" s="482"/>
    </row>
    <row r="141" spans="1:2">
      <c r="A141" s="69">
        <v>45099</v>
      </c>
      <c r="B141" s="482"/>
    </row>
    <row r="142" spans="1:2">
      <c r="A142" s="69">
        <v>45100</v>
      </c>
      <c r="B142" s="482"/>
    </row>
    <row r="143" spans="1:2">
      <c r="A143" s="69">
        <v>45103</v>
      </c>
      <c r="B143" s="482"/>
    </row>
    <row r="144" spans="1:2">
      <c r="A144" s="69">
        <v>45104</v>
      </c>
      <c r="B144" s="482"/>
    </row>
    <row r="145" spans="1:2">
      <c r="A145" s="69">
        <v>45105</v>
      </c>
      <c r="B145" s="482"/>
    </row>
    <row r="146" spans="1:2">
      <c r="A146" s="69">
        <v>45106</v>
      </c>
      <c r="B146" s="482"/>
    </row>
    <row r="147" spans="1:2">
      <c r="A147" s="69">
        <v>45107</v>
      </c>
      <c r="B147" s="482"/>
    </row>
    <row r="148" spans="1:2">
      <c r="A148" s="69">
        <v>45110</v>
      </c>
      <c r="B148" s="482"/>
    </row>
    <row r="149" spans="1:2">
      <c r="A149" s="69">
        <v>45112</v>
      </c>
      <c r="B149" s="482"/>
    </row>
    <row r="150" spans="1:2">
      <c r="A150" s="69">
        <v>45113</v>
      </c>
      <c r="B150" s="482"/>
    </row>
    <row r="151" spans="1:2">
      <c r="A151" s="69">
        <v>45114</v>
      </c>
      <c r="B151" s="482"/>
    </row>
    <row r="152" spans="1:2">
      <c r="A152" s="69">
        <v>45117</v>
      </c>
      <c r="B152" s="482"/>
    </row>
    <row r="153" spans="1:2">
      <c r="A153" s="69">
        <v>45118</v>
      </c>
      <c r="B153" s="482"/>
    </row>
    <row r="154" spans="1:2">
      <c r="A154" s="69">
        <v>45119</v>
      </c>
      <c r="B154" s="482"/>
    </row>
    <row r="155" spans="1:2">
      <c r="A155" s="69">
        <v>45120</v>
      </c>
      <c r="B155" s="482"/>
    </row>
    <row r="156" spans="1:2">
      <c r="A156" s="69">
        <v>45121</v>
      </c>
      <c r="B156" s="482"/>
    </row>
    <row r="157" spans="1:2">
      <c r="A157" s="69">
        <v>45124</v>
      </c>
      <c r="B157" s="482"/>
    </row>
    <row r="158" spans="1:2">
      <c r="A158" s="69">
        <v>45125</v>
      </c>
      <c r="B158" s="482"/>
    </row>
    <row r="159" spans="1:2">
      <c r="A159" s="69">
        <v>45126</v>
      </c>
      <c r="B159" s="482"/>
    </row>
    <row r="160" spans="1:2">
      <c r="A160" s="69">
        <v>45127</v>
      </c>
      <c r="B160" s="482"/>
    </row>
    <row r="161" spans="1:2">
      <c r="A161" s="69">
        <v>45128</v>
      </c>
      <c r="B161" s="482"/>
    </row>
    <row r="162" spans="1:2">
      <c r="A162" s="69">
        <v>45131</v>
      </c>
      <c r="B162" s="482"/>
    </row>
    <row r="163" spans="1:2">
      <c r="A163" s="69">
        <v>45132</v>
      </c>
      <c r="B163" s="482"/>
    </row>
    <row r="164" spans="1:2">
      <c r="A164" s="69">
        <v>45133</v>
      </c>
      <c r="B164" s="482"/>
    </row>
    <row r="165" spans="1:2">
      <c r="A165" s="69">
        <v>45134</v>
      </c>
      <c r="B165" s="482"/>
    </row>
    <row r="166" spans="1:2">
      <c r="A166" s="69">
        <v>45135</v>
      </c>
      <c r="B166" s="482"/>
    </row>
    <row r="167" spans="1:2">
      <c r="A167" s="69">
        <v>45138</v>
      </c>
      <c r="B167" s="482"/>
    </row>
    <row r="168" spans="1:2">
      <c r="A168" s="69">
        <v>45139</v>
      </c>
      <c r="B168" s="482"/>
    </row>
    <row r="169" spans="1:2">
      <c r="A169" s="69">
        <v>45140</v>
      </c>
      <c r="B169" s="482"/>
    </row>
    <row r="170" spans="1:2">
      <c r="A170" s="69">
        <v>45141</v>
      </c>
      <c r="B170" s="482"/>
    </row>
    <row r="171" spans="1:2">
      <c r="A171" s="69">
        <v>45142</v>
      </c>
      <c r="B171" s="482"/>
    </row>
    <row r="172" spans="1:2">
      <c r="A172" s="69">
        <v>45145</v>
      </c>
      <c r="B172" s="482"/>
    </row>
    <row r="173" spans="1:2">
      <c r="A173" s="69">
        <v>45146</v>
      </c>
      <c r="B173" s="482"/>
    </row>
    <row r="174" spans="1:2">
      <c r="A174" s="69">
        <v>45147</v>
      </c>
      <c r="B174" s="482"/>
    </row>
    <row r="175" spans="1:2">
      <c r="A175" s="69">
        <v>45148</v>
      </c>
      <c r="B175" s="482"/>
    </row>
    <row r="176" spans="1:2">
      <c r="A176" s="69">
        <v>45149</v>
      </c>
      <c r="B176" s="482"/>
    </row>
    <row r="177" spans="1:2">
      <c r="A177" s="69">
        <v>45152</v>
      </c>
      <c r="B177" s="482"/>
    </row>
    <row r="178" spans="1:2">
      <c r="A178" s="69">
        <v>45153</v>
      </c>
      <c r="B178" s="482"/>
    </row>
    <row r="179" spans="1:2">
      <c r="A179" s="69">
        <v>45154</v>
      </c>
      <c r="B179" s="482"/>
    </row>
    <row r="180" spans="1:2">
      <c r="A180" s="69">
        <v>45155</v>
      </c>
      <c r="B180" s="482"/>
    </row>
    <row r="181" spans="1:2">
      <c r="A181" s="69">
        <v>45156</v>
      </c>
      <c r="B181" s="482"/>
    </row>
    <row r="182" spans="1:2">
      <c r="A182" s="69">
        <v>45159</v>
      </c>
      <c r="B182" s="482"/>
    </row>
    <row r="183" spans="1:2">
      <c r="A183" s="69">
        <v>45160</v>
      </c>
      <c r="B183" s="482"/>
    </row>
    <row r="184" spans="1:2">
      <c r="A184" s="69">
        <v>45161</v>
      </c>
      <c r="B184" s="482"/>
    </row>
    <row r="185" spans="1:2">
      <c r="A185" s="69">
        <v>45162</v>
      </c>
      <c r="B185" s="482"/>
    </row>
    <row r="186" spans="1:2">
      <c r="A186" s="69">
        <v>45163</v>
      </c>
      <c r="B186" s="482"/>
    </row>
    <row r="187" spans="1:2">
      <c r="A187" s="69">
        <v>45166</v>
      </c>
      <c r="B187" s="482"/>
    </row>
    <row r="188" spans="1:2">
      <c r="A188" s="69">
        <v>45167</v>
      </c>
      <c r="B188" s="482"/>
    </row>
    <row r="189" spans="1:2">
      <c r="A189" s="69">
        <v>45168</v>
      </c>
      <c r="B189" s="482"/>
    </row>
    <row r="190" spans="1:2">
      <c r="A190" s="69">
        <v>45169</v>
      </c>
      <c r="B190" s="482"/>
    </row>
    <row r="191" spans="1:2">
      <c r="A191" s="69">
        <v>45170</v>
      </c>
      <c r="B191" s="482"/>
    </row>
    <row r="192" spans="1:2">
      <c r="A192" s="69">
        <v>45174</v>
      </c>
      <c r="B192" s="482"/>
    </row>
    <row r="193" spans="1:3" ht="15.75" thickBot="1">
      <c r="A193" s="69">
        <v>45175</v>
      </c>
      <c r="B193" s="483"/>
    </row>
    <row r="194" spans="1:3" ht="15.75" thickTop="1">
      <c r="A194" s="9"/>
    </row>
    <row r="195" spans="1:3" ht="15.75" thickBot="1">
      <c r="A195" s="137"/>
    </row>
    <row r="196" spans="1:3" ht="16.5" thickTop="1" thickBot="1">
      <c r="A196" s="137" t="s">
        <v>94</v>
      </c>
      <c r="B196" s="490"/>
      <c r="C196" s="137"/>
    </row>
    <row r="197" spans="1:3" ht="15.75" thickTop="1"/>
  </sheetData>
  <mergeCells count="1">
    <mergeCell ref="A1:G1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B2" sqref="B2"/>
    </sheetView>
  </sheetViews>
  <sheetFormatPr defaultColWidth="9.140625" defaultRowHeight="15.75"/>
  <cols>
    <col min="1" max="1" width="9.140625" style="8"/>
    <col min="2" max="3" width="12.7109375" style="8" bestFit="1" customWidth="1"/>
    <col min="4" max="4" width="11.5703125" style="8" bestFit="1" customWidth="1"/>
    <col min="5" max="16384" width="9.140625" style="8"/>
  </cols>
  <sheetData>
    <row r="1" spans="1:7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7" ht="16.5" thickTop="1">
      <c r="A2" s="136" t="s">
        <v>255</v>
      </c>
    </row>
    <row r="3" spans="1:7">
      <c r="A3" s="70" t="s">
        <v>51</v>
      </c>
    </row>
    <row r="4" spans="1:7" ht="16.5" thickBot="1"/>
    <row r="5" spans="1:7" ht="17.25" thickTop="1" thickBot="1">
      <c r="A5" s="8">
        <v>2023</v>
      </c>
      <c r="B5" s="484"/>
    </row>
    <row r="6" spans="1:7" ht="16.5" thickTop="1"/>
    <row r="7" spans="1:7">
      <c r="A7" s="70" t="s">
        <v>198</v>
      </c>
    </row>
    <row r="8" spans="1:7" ht="16.5" thickBot="1"/>
    <row r="9" spans="1:7" ht="17.25" thickTop="1" thickBot="1">
      <c r="B9" s="484"/>
    </row>
    <row r="10" spans="1:7" ht="16.5" thickTop="1"/>
    <row r="13" spans="1:7">
      <c r="A13" s="70" t="s">
        <v>50</v>
      </c>
    </row>
    <row r="14" spans="1:7">
      <c r="A14" s="8" t="s">
        <v>43</v>
      </c>
    </row>
    <row r="15" spans="1:7" ht="63.75" thickBot="1">
      <c r="B15" s="66">
        <v>2023</v>
      </c>
      <c r="C15" s="140" t="s">
        <v>44</v>
      </c>
      <c r="D15" s="141" t="s">
        <v>45</v>
      </c>
    </row>
    <row r="16" spans="1:7" ht="16.5" thickTop="1">
      <c r="B16" s="8" t="s">
        <v>46</v>
      </c>
      <c r="C16" s="485"/>
      <c r="D16" s="486"/>
    </row>
    <row r="17" spans="1:4" ht="16.5" thickBot="1">
      <c r="B17" s="8" t="s">
        <v>47</v>
      </c>
      <c r="C17" s="487"/>
      <c r="D17" s="488"/>
    </row>
    <row r="18" spans="1:4" ht="16.5" thickTop="1"/>
    <row r="22" spans="1:4">
      <c r="A22" s="8" t="s">
        <v>48</v>
      </c>
    </row>
    <row r="23" spans="1:4" ht="63.75" thickBot="1">
      <c r="B23" s="66">
        <v>2023</v>
      </c>
      <c r="C23" s="67" t="s">
        <v>44</v>
      </c>
      <c r="D23" s="68" t="s">
        <v>45</v>
      </c>
    </row>
    <row r="24" spans="1:4" ht="16.5" thickTop="1">
      <c r="B24" s="8" t="s">
        <v>46</v>
      </c>
      <c r="C24" s="485"/>
      <c r="D24" s="486"/>
    </row>
    <row r="25" spans="1:4" ht="16.5" thickBot="1">
      <c r="B25" s="8" t="s">
        <v>47</v>
      </c>
      <c r="C25" s="487"/>
      <c r="D25" s="488"/>
    </row>
    <row r="26" spans="1:4" ht="16.5" thickTop="1"/>
    <row r="30" spans="1:4">
      <c r="A30" s="8" t="s">
        <v>49</v>
      </c>
    </row>
    <row r="31" spans="1:4" ht="63.75" thickBot="1">
      <c r="B31" s="66">
        <v>2023</v>
      </c>
      <c r="C31" s="67" t="s">
        <v>44</v>
      </c>
      <c r="D31" s="68" t="s">
        <v>45</v>
      </c>
    </row>
    <row r="32" spans="1:4" ht="16.5" thickTop="1">
      <c r="B32" s="8" t="s">
        <v>46</v>
      </c>
      <c r="C32" s="491"/>
      <c r="D32" s="492"/>
    </row>
    <row r="33" spans="2:4" ht="16.5" thickBot="1">
      <c r="B33" s="8" t="s">
        <v>47</v>
      </c>
      <c r="C33" s="493"/>
      <c r="D33" s="494"/>
    </row>
    <row r="34" spans="2:4" ht="16.5" thickTop="1"/>
  </sheetData>
  <mergeCells count="1">
    <mergeCell ref="A1:G1"/>
  </mergeCells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6"/>
  <sheetViews>
    <sheetView workbookViewId="0">
      <selection activeCell="A2" sqref="A2"/>
    </sheetView>
  </sheetViews>
  <sheetFormatPr defaultColWidth="9.140625" defaultRowHeight="15.75"/>
  <cols>
    <col min="1" max="1" width="41" style="8" customWidth="1"/>
    <col min="2" max="2" width="55.42578125" style="8" customWidth="1"/>
    <col min="3" max="3" width="20.7109375" style="8" customWidth="1"/>
    <col min="4" max="4" width="15.7109375" style="8" bestFit="1" customWidth="1"/>
    <col min="5" max="5" width="9.140625" style="8"/>
    <col min="6" max="6" width="12.7109375" style="8" bestFit="1" customWidth="1"/>
    <col min="7" max="7" width="9.140625" style="8"/>
    <col min="8" max="8" width="15.7109375" style="8" bestFit="1" customWidth="1"/>
    <col min="9" max="16384" width="9.140625" style="8"/>
  </cols>
  <sheetData>
    <row r="1" spans="1:8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8" ht="16.5" thickTop="1">
      <c r="A2" s="136" t="s">
        <v>255</v>
      </c>
    </row>
    <row r="3" spans="1:8">
      <c r="C3" s="497" t="s">
        <v>145</v>
      </c>
      <c r="D3" s="497"/>
    </row>
    <row r="4" spans="1:8">
      <c r="A4" s="8" t="s">
        <v>144</v>
      </c>
      <c r="B4" s="8" t="s">
        <v>143</v>
      </c>
      <c r="C4" s="8">
        <v>2023</v>
      </c>
      <c r="D4" s="8">
        <v>2024</v>
      </c>
      <c r="G4" s="8" t="s">
        <v>142</v>
      </c>
      <c r="H4" s="155">
        <v>68052220</v>
      </c>
    </row>
    <row r="5" spans="1:8">
      <c r="A5" s="226" t="s">
        <v>141</v>
      </c>
      <c r="B5" s="226" t="s">
        <v>140</v>
      </c>
      <c r="C5" s="227">
        <f>H4*0.93</f>
        <v>63288564.600000001</v>
      </c>
      <c r="D5" s="225">
        <f>C5-(H4-C5)</f>
        <v>58524909.200000003</v>
      </c>
    </row>
    <row r="6" spans="1:8">
      <c r="A6" s="8" t="s">
        <v>139</v>
      </c>
      <c r="B6" s="8" t="s">
        <v>138</v>
      </c>
      <c r="C6" s="222">
        <f>0.05*C5</f>
        <v>3164428.2300000004</v>
      </c>
      <c r="D6" s="222">
        <f>0.05*D5</f>
        <v>2926245.4600000004</v>
      </c>
    </row>
    <row r="7" spans="1:8">
      <c r="C7" s="222"/>
      <c r="D7" s="222"/>
    </row>
    <row r="8" spans="1:8">
      <c r="C8" s="222"/>
      <c r="D8" s="222"/>
    </row>
    <row r="10" spans="1:8">
      <c r="A10" s="226" t="s">
        <v>137</v>
      </c>
      <c r="B10" s="226" t="s">
        <v>136</v>
      </c>
      <c r="C10" s="225">
        <f>C5-C6-C7-C8</f>
        <v>60124136.370000005</v>
      </c>
      <c r="D10" s="225">
        <f>D5-D6-D7-D8</f>
        <v>55598663.740000002</v>
      </c>
    </row>
    <row r="11" spans="1:8">
      <c r="A11" s="8" t="s">
        <v>135</v>
      </c>
      <c r="C11" s="155">
        <v>14200000</v>
      </c>
      <c r="D11" s="155">
        <v>14200000</v>
      </c>
    </row>
    <row r="12" spans="1:8">
      <c r="A12" s="8" t="s">
        <v>134</v>
      </c>
      <c r="B12" s="8" t="s">
        <v>133</v>
      </c>
      <c r="C12" s="222">
        <f>C13+C14</f>
        <v>16583547.257829459</v>
      </c>
      <c r="D12" s="222">
        <f>D13+D14</f>
        <v>15343156.253706124</v>
      </c>
    </row>
    <row r="13" spans="1:8">
      <c r="A13" s="8" t="s">
        <v>132</v>
      </c>
      <c r="C13" s="155">
        <v>2400000</v>
      </c>
      <c r="D13" s="155">
        <f>(C13+C16)*0.93*0.3</f>
        <v>1983690</v>
      </c>
    </row>
    <row r="14" spans="1:8">
      <c r="A14" s="8" t="s">
        <v>131</v>
      </c>
      <c r="C14" s="155">
        <v>14183547.257829459</v>
      </c>
      <c r="D14" s="155">
        <v>13359466.253706124</v>
      </c>
    </row>
    <row r="15" spans="1:8">
      <c r="A15" s="8" t="s">
        <v>130</v>
      </c>
      <c r="B15" s="8" t="s">
        <v>129</v>
      </c>
      <c r="C15" s="155">
        <f>C16+C17</f>
        <v>4710000</v>
      </c>
      <c r="D15" s="155">
        <f>D16+D17</f>
        <v>4628610</v>
      </c>
    </row>
    <row r="16" spans="1:8">
      <c r="A16" s="8" t="s">
        <v>128</v>
      </c>
      <c r="C16" s="155">
        <v>4710000</v>
      </c>
      <c r="D16" s="222">
        <f>(C13+C16)*0.93*0.7</f>
        <v>4628610</v>
      </c>
    </row>
    <row r="17" spans="1:6">
      <c r="A17" s="8" t="s">
        <v>127</v>
      </c>
      <c r="C17" s="8">
        <v>0</v>
      </c>
    </row>
    <row r="18" spans="1:6">
      <c r="A18" s="226" t="s">
        <v>126</v>
      </c>
      <c r="B18" s="226" t="s">
        <v>125</v>
      </c>
      <c r="C18" s="225">
        <f>C15</f>
        <v>4710000</v>
      </c>
      <c r="D18" s="225">
        <f>D15</f>
        <v>4628610</v>
      </c>
    </row>
    <row r="19" spans="1:6">
      <c r="A19" s="226" t="s">
        <v>124</v>
      </c>
      <c r="B19" s="226" t="s">
        <v>123</v>
      </c>
      <c r="C19" s="225">
        <f>C10-C11-C12-C18</f>
        <v>24630589.112170547</v>
      </c>
      <c r="D19" s="225">
        <f>D10-D11-D12-D18</f>
        <v>21426897.486293878</v>
      </c>
    </row>
    <row r="20" spans="1:6">
      <c r="A20" s="226"/>
      <c r="B20" s="226"/>
      <c r="C20" s="226"/>
      <c r="D20" s="226"/>
    </row>
    <row r="21" spans="1:6">
      <c r="A21" s="226" t="s">
        <v>122</v>
      </c>
      <c r="B21" s="226"/>
      <c r="C21" s="225">
        <f>SUM(C18:C19)</f>
        <v>29340589.112170547</v>
      </c>
      <c r="D21" s="225">
        <f>SUM(D18:D19)</f>
        <v>26055507.486293878</v>
      </c>
    </row>
    <row r="22" spans="1:6">
      <c r="A22" s="226" t="s">
        <v>121</v>
      </c>
      <c r="B22" s="226"/>
      <c r="C22" s="226"/>
      <c r="D22" s="225"/>
      <c r="F22" s="8" t="s">
        <v>120</v>
      </c>
    </row>
    <row r="23" spans="1:6">
      <c r="A23" s="224" t="s">
        <v>119</v>
      </c>
      <c r="C23" s="155">
        <v>6185222</v>
      </c>
      <c r="D23" s="222">
        <f>D$21/4</f>
        <v>6513876.8715734696</v>
      </c>
      <c r="E23" s="223"/>
      <c r="F23" s="222">
        <f>D23*0.1</f>
        <v>651387.68715734698</v>
      </c>
    </row>
    <row r="24" spans="1:6">
      <c r="A24" s="224" t="s">
        <v>118</v>
      </c>
      <c r="C24" s="155">
        <v>8585000</v>
      </c>
      <c r="D24" s="222">
        <f>D$21/4</f>
        <v>6513876.8715734696</v>
      </c>
      <c r="F24" s="222">
        <f>D24*0.1</f>
        <v>651387.68715734698</v>
      </c>
    </row>
    <row r="25" spans="1:6">
      <c r="A25" s="224" t="s">
        <v>117</v>
      </c>
      <c r="C25" s="155">
        <v>6200000</v>
      </c>
      <c r="D25" s="222">
        <f>D$21/4</f>
        <v>6513876.8715734696</v>
      </c>
      <c r="F25" s="222">
        <f>D25*0.1</f>
        <v>651387.68715734698</v>
      </c>
    </row>
    <row r="26" spans="1:6">
      <c r="A26" s="224" t="s">
        <v>116</v>
      </c>
      <c r="C26" s="155">
        <f>C21-C23-C24-C25</f>
        <v>8370367.1121705472</v>
      </c>
      <c r="D26" s="222">
        <f>D$21/4</f>
        <v>6513876.8715734696</v>
      </c>
      <c r="F26" s="222">
        <f>D26*0.1</f>
        <v>651387.68715734698</v>
      </c>
    </row>
    <row r="29" spans="1:6">
      <c r="C29" s="222"/>
    </row>
    <row r="30" spans="1:6">
      <c r="C30" s="222"/>
    </row>
    <row r="31" spans="1:6">
      <c r="C31" s="223"/>
    </row>
    <row r="36" spans="5:5">
      <c r="E36" s="222"/>
    </row>
  </sheetData>
  <mergeCells count="2">
    <mergeCell ref="C3:D3"/>
    <mergeCell ref="A1:G1"/>
  </mergeCells>
  <pageMargins left="0.7" right="0.7" top="0.75" bottom="0.75" header="0.3" footer="0.3"/>
  <pageSetup orientation="portrait" horizontalDpi="90" verticalDpi="90" r:id="rId1"/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workbookViewId="0">
      <selection activeCell="A5" sqref="A5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1:9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9" ht="15.75" thickTop="1">
      <c r="A2" s="136" t="s">
        <v>255</v>
      </c>
    </row>
    <row r="3" spans="1:9">
      <c r="B3" s="132" t="s">
        <v>87</v>
      </c>
      <c r="C3" s="132"/>
      <c r="D3" s="132">
        <v>2023</v>
      </c>
      <c r="E3" s="132">
        <v>2024</v>
      </c>
      <c r="F3" s="132">
        <v>2025</v>
      </c>
      <c r="G3" s="132">
        <v>2026</v>
      </c>
      <c r="H3" s="132">
        <v>2027</v>
      </c>
      <c r="I3" s="132" t="s">
        <v>68</v>
      </c>
    </row>
    <row r="4" spans="1:9" ht="15.75" thickBot="1"/>
    <row r="5" spans="1:9" ht="31.5" thickTop="1" thickBot="1">
      <c r="B5" t="s">
        <v>89</v>
      </c>
      <c r="C5" s="489"/>
      <c r="D5" s="361"/>
      <c r="E5" s="361"/>
      <c r="F5" s="361"/>
      <c r="G5" s="361"/>
      <c r="H5" s="361"/>
      <c r="I5" s="360" t="s">
        <v>241</v>
      </c>
    </row>
    <row r="6" spans="1:9" ht="15.75" thickTop="1">
      <c r="B6" t="s">
        <v>242</v>
      </c>
      <c r="D6" s="133">
        <v>0.93</v>
      </c>
      <c r="E6" s="133">
        <f>D6-$C$7</f>
        <v>0.8600000000000001</v>
      </c>
      <c r="F6" s="133">
        <f>E6-$C$7</f>
        <v>0.79</v>
      </c>
      <c r="G6" s="133">
        <f>F6-$C$7</f>
        <v>0.72</v>
      </c>
      <c r="H6" s="133">
        <f>G6-$C$7</f>
        <v>0.64999999999999991</v>
      </c>
    </row>
    <row r="7" spans="1:9" ht="15.75" thickBot="1">
      <c r="B7" t="s">
        <v>243</v>
      </c>
      <c r="C7" s="133">
        <v>7.0000000000000007E-2</v>
      </c>
      <c r="E7" s="133"/>
      <c r="F7" s="133"/>
      <c r="G7" s="133"/>
      <c r="H7" s="133"/>
    </row>
    <row r="8" spans="1:9" ht="16.5" thickTop="1" thickBot="1">
      <c r="B8" t="s">
        <v>88</v>
      </c>
      <c r="D8" s="489">
        <f>$C$5*D6</f>
        <v>0</v>
      </c>
      <c r="E8" s="489">
        <f t="shared" ref="E8:H8" si="0">$C$5*E6</f>
        <v>0</v>
      </c>
      <c r="F8" s="489">
        <f t="shared" si="0"/>
        <v>0</v>
      </c>
      <c r="G8" s="489">
        <f t="shared" si="0"/>
        <v>0</v>
      </c>
      <c r="H8" s="489">
        <f t="shared" si="0"/>
        <v>0</v>
      </c>
    </row>
    <row r="9" spans="1:9" ht="15.75" thickTop="1">
      <c r="D9" s="347">
        <v>-0.6662003668025136</v>
      </c>
      <c r="E9" s="347">
        <v>-0.61605625227093697</v>
      </c>
      <c r="F9" s="347">
        <v>-0.56591213913634419</v>
      </c>
      <c r="G9" s="347">
        <v>-0.51576802600175142</v>
      </c>
      <c r="H9" s="347">
        <v>-0.46562391240149736</v>
      </c>
    </row>
    <row r="10" spans="1:9">
      <c r="B10" t="s">
        <v>244</v>
      </c>
      <c r="D10" s="133">
        <v>0.65</v>
      </c>
      <c r="E10" s="133">
        <f>D10+$C$11</f>
        <v>0.70000000000000007</v>
      </c>
      <c r="F10" s="133">
        <f t="shared" ref="F10:H10" si="1">E10+$C$11</f>
        <v>0.75000000000000011</v>
      </c>
      <c r="G10" s="133">
        <f t="shared" si="1"/>
        <v>0.80000000000000016</v>
      </c>
      <c r="H10" s="133">
        <f t="shared" si="1"/>
        <v>0.8500000000000002</v>
      </c>
    </row>
    <row r="11" spans="1:9" ht="15.75" thickBot="1">
      <c r="B11" t="s">
        <v>245</v>
      </c>
      <c r="C11" s="133">
        <v>0.05</v>
      </c>
      <c r="D11" s="133"/>
      <c r="E11" s="133"/>
      <c r="F11" s="133"/>
      <c r="G11" s="133"/>
      <c r="H11" s="133"/>
    </row>
    <row r="12" spans="1:9" ht="16.5" thickTop="1" thickBot="1">
      <c r="B12" t="s">
        <v>246</v>
      </c>
      <c r="D12" s="489">
        <f>D8*D10</f>
        <v>0</v>
      </c>
      <c r="E12" s="489">
        <f t="shared" ref="E12:H12" si="2">E8*E10</f>
        <v>0</v>
      </c>
      <c r="F12" s="489">
        <f t="shared" si="2"/>
        <v>0</v>
      </c>
      <c r="G12" s="489">
        <f t="shared" si="2"/>
        <v>0</v>
      </c>
      <c r="H12" s="489">
        <f t="shared" si="2"/>
        <v>0</v>
      </c>
    </row>
    <row r="13" spans="1:9" ht="15.75" thickTop="1">
      <c r="D13" s="347">
        <v>-0.43303023837506771</v>
      </c>
      <c r="E13" s="347">
        <v>-0.43123937677592039</v>
      </c>
      <c r="F13" s="347">
        <v>-0.42443410400301218</v>
      </c>
      <c r="G13" s="347">
        <v>-0.41261442052200437</v>
      </c>
      <c r="H13" s="347">
        <v>-0.39578032540157437</v>
      </c>
    </row>
  </sheetData>
  <mergeCells count="1">
    <mergeCell ref="A1:G1"/>
  </mergeCells>
  <pageMargins left="0.7" right="0.7" top="0.75" bottom="0.75" header="0.3" footer="0.3"/>
  <pageSetup orientation="portrait" r:id="rId1"/>
  <customProperties>
    <customPr name="_pios_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3181DA5D0FE148878AD1AEADA19144" ma:contentTypeVersion="24" ma:contentTypeDescription="" ma:contentTypeScope="" ma:versionID="3a4d29b87ec940d9fa9b6788e08fc50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2023-11-22T08:00:00+00:00</OpenedDate>
    <SignificantOrder xmlns="dc463f71-b30c-4ab2-9473-d307f9d35888">false</SignificantOrder>
    <Date1 xmlns="dc463f71-b30c-4ab2-9473-d307f9d35888">2023-11-22T08:00:00+00:00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230968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C2678FC-A976-4E88-AE03-B9E33B5766CD}"/>
</file>

<file path=customXml/itemProps2.xml><?xml version="1.0" encoding="utf-8"?>
<ds:datastoreItem xmlns:ds="http://schemas.openxmlformats.org/officeDocument/2006/customXml" ds:itemID="{CF1DC970-1CD9-4A8D-886B-52BC7676AFD9}"/>
</file>

<file path=customXml/itemProps3.xml><?xml version="1.0" encoding="utf-8"?>
<ds:datastoreItem xmlns:ds="http://schemas.openxmlformats.org/officeDocument/2006/customXml" ds:itemID="{CBE0E548-E5DA-4E9C-9BDC-D619F7D5DF5E}"/>
</file>

<file path=customXml/itemProps4.xml><?xml version="1.0" encoding="utf-8"?>
<ds:datastoreItem xmlns:ds="http://schemas.openxmlformats.org/officeDocument/2006/customXml" ds:itemID="{9CC0C5B1-A069-4CA7-B960-3318FCBD72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REDACTED</vt:lpstr>
      <vt:lpstr>Rev Req</vt:lpstr>
      <vt:lpstr>Detail To File</vt:lpstr>
      <vt:lpstr>Detail (R)</vt:lpstr>
      <vt:lpstr>NEX_EOD_ENVIRON_FUTURES (R)</vt:lpstr>
      <vt:lpstr>Dec 23 Daily Settle Price (R)</vt:lpstr>
      <vt:lpstr>Purch Volumes 2023 (R)</vt:lpstr>
      <vt:lpstr>Purch Volumes 2024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2023-11-22T22:47:44Z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0x0101006E56B4D1795A2E4DB2F0B01679ED314A004D3181DA5D0FE148878AD1AEADA19144</vt:lpwstr>
  </property>
  <property fmtid="{D5CDD505-2E9C-101B-9397-08002B2CF9AE}" pid="3" name="_docset_NoMedatataSyncRequired">
    <vt:lpwstr>False</vt:lpwstr>
  </property>
</Properties>
</file>