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egulatory_Affairs\PGA - WASHINGTON\2023\6_RBDP\"/>
    </mc:Choice>
  </mc:AlternateContent>
  <xr:revisionPtr revIDLastSave="0" documentId="13_ncr:1_{4A20EA4E-3481-494C-B55F-F1652464BC35}" xr6:coauthVersionLast="47" xr6:coauthVersionMax="47" xr10:uidLastSave="{00000000-0000-0000-0000-000000000000}"/>
  <bookViews>
    <workbookView xWindow="-120" yWindow="-120" windowWidth="29040" windowHeight="15840" xr2:uid="{4975A6F4-77CE-4A45-A2C8-A2E642055772}"/>
  </bookViews>
  <sheets>
    <sheet name="Allocation = % of margin" sheetId="1" r:id="rId1"/>
    <sheet name="Avg Bill by RS" sheetId="2" r:id="rId2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_FilterDatabase" localSheetId="0" hidden="1">'Allocation = % of margin'!$A$7:$P$90</definedName>
    <definedName name="calcsheet1">#N/A</definedName>
    <definedName name="calcsheet2">#N/A</definedName>
    <definedName name="calcsheet3">#N/A</definedName>
    <definedName name="CMonth">#REF!</definedName>
    <definedName name="CYTD">#REF!</definedName>
    <definedName name="Differences">#REF!</definedName>
    <definedName name="DivM">#REF!</definedName>
    <definedName name="DivY">#REF!</definedName>
    <definedName name="EFFDATE">#REF!</definedName>
    <definedName name="EMonth">#REF!,#REF!</definedName>
    <definedName name="ExpM">#REF!</definedName>
    <definedName name="ExpY">#REF!</definedName>
    <definedName name="EYTD">#REF!,#REF!</definedName>
    <definedName name="Month">#REF!</definedName>
    <definedName name="Pal_Workbook_GUID" hidden="1">"VX3CWJGNQX2CCGI81U4N2V76"</definedName>
    <definedName name="_xlnm.Print_Area" localSheetId="0">'Allocation = % of margin'!$A$1:$P$90</definedName>
    <definedName name="_xlnm.Print_Area" localSheetId="1">'Avg Bill by RS'!$A$1:$M$100</definedName>
    <definedName name="_xlnm.Print_Titles" localSheetId="0">'Allocation = % of margin'!$A:$M</definedName>
    <definedName name="_xlnm.Print_Titles" localSheetId="1">'Avg Bill by RS'!$A:$I</definedName>
    <definedName name="print55">#REF!</definedName>
    <definedName name="RevM">#REF!</definedName>
    <definedName name="revsens">#REF!</definedName>
    <definedName name="RevY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ptDate">#REF!</definedName>
    <definedName name="shitodear">#N/A</definedName>
    <definedName name="shitodear2">#N/A</definedName>
    <definedName name="shitodear3">#N/A</definedName>
    <definedName name="Version">#REF!</definedName>
    <definedName name="wa_revsen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80" i="1" l="1"/>
  <c r="L79" i="1"/>
  <c r="L73" i="1"/>
  <c r="L67" i="1"/>
  <c r="L61" i="1"/>
  <c r="L55" i="1"/>
  <c r="L49" i="1"/>
  <c r="L43" i="1"/>
  <c r="L37" i="1"/>
  <c r="L31" i="1"/>
  <c r="L29" i="1"/>
  <c r="L27" i="1"/>
  <c r="L25" i="1"/>
  <c r="L23" i="1"/>
  <c r="L21" i="1"/>
  <c r="L19" i="1"/>
  <c r="L18" i="1"/>
  <c r="L17" i="1"/>
  <c r="L16" i="1"/>
  <c r="L15" i="1"/>
  <c r="L14" i="1"/>
  <c r="L13" i="1"/>
  <c r="H79" i="1"/>
  <c r="H80" i="1"/>
  <c r="H78" i="1"/>
  <c r="H67" i="1" l="1"/>
  <c r="H68" i="1"/>
  <c r="H69" i="1"/>
  <c r="H70" i="1"/>
  <c r="H71" i="1"/>
  <c r="H72" i="1"/>
  <c r="D85" i="1"/>
  <c r="I67" i="1" l="1"/>
  <c r="H13" i="1"/>
  <c r="I13" i="1" s="1"/>
  <c r="M8" i="2"/>
  <c r="L8" i="2"/>
  <c r="F10" i="1"/>
  <c r="G10" i="1" s="1"/>
  <c r="J8" i="2" s="1"/>
  <c r="H87" i="2" l="1"/>
  <c r="H88" i="2"/>
  <c r="H89" i="2"/>
  <c r="H90" i="2"/>
  <c r="H91" i="2"/>
  <c r="H86" i="2"/>
  <c r="H80" i="2"/>
  <c r="H81" i="2"/>
  <c r="H82" i="2"/>
  <c r="H83" i="2"/>
  <c r="H84" i="2"/>
  <c r="H79" i="2"/>
  <c r="H73" i="2"/>
  <c r="H74" i="2"/>
  <c r="H75" i="2"/>
  <c r="H76" i="2"/>
  <c r="H77" i="2"/>
  <c r="H72" i="2"/>
  <c r="H66" i="2"/>
  <c r="H67" i="2"/>
  <c r="H68" i="2"/>
  <c r="H69" i="2"/>
  <c r="H70" i="2"/>
  <c r="H65" i="2"/>
  <c r="H59" i="2"/>
  <c r="H60" i="2"/>
  <c r="H61" i="2"/>
  <c r="H62" i="2"/>
  <c r="H63" i="2"/>
  <c r="H58" i="2"/>
  <c r="H52" i="2"/>
  <c r="H53" i="2"/>
  <c r="H54" i="2"/>
  <c r="H55" i="2"/>
  <c r="H56" i="2"/>
  <c r="H51" i="2"/>
  <c r="H45" i="2"/>
  <c r="H46" i="2"/>
  <c r="H47" i="2"/>
  <c r="H48" i="2"/>
  <c r="H49" i="2"/>
  <c r="H44" i="2"/>
  <c r="H38" i="2"/>
  <c r="H39" i="2"/>
  <c r="H40" i="2"/>
  <c r="H41" i="2"/>
  <c r="H42" i="2"/>
  <c r="H37" i="2"/>
  <c r="H35" i="2"/>
  <c r="H34" i="2"/>
  <c r="H32" i="2"/>
  <c r="H31" i="2"/>
  <c r="H29" i="2"/>
  <c r="H28" i="2"/>
  <c r="H26" i="2"/>
  <c r="H25" i="2"/>
  <c r="H23" i="2"/>
  <c r="H22" i="2"/>
  <c r="H20" i="2"/>
  <c r="H19" i="2"/>
  <c r="H18" i="2"/>
  <c r="H17" i="2"/>
  <c r="H16" i="2"/>
  <c r="H15" i="2"/>
  <c r="H14" i="2"/>
  <c r="H13" i="2"/>
  <c r="I13" i="2" s="1"/>
  <c r="G94" i="2"/>
  <c r="G93" i="2"/>
  <c r="G86" i="2"/>
  <c r="G79" i="2"/>
  <c r="G72" i="2"/>
  <c r="G65" i="2"/>
  <c r="G58" i="2"/>
  <c r="G51" i="2"/>
  <c r="G44" i="2"/>
  <c r="G37" i="2"/>
  <c r="G34" i="2"/>
  <c r="G31" i="2"/>
  <c r="G28" i="2"/>
  <c r="G25" i="2"/>
  <c r="G22" i="2"/>
  <c r="G19" i="2"/>
  <c r="G18" i="2"/>
  <c r="G17" i="2"/>
  <c r="G16" i="2"/>
  <c r="G15" i="2"/>
  <c r="G14" i="2"/>
  <c r="G13" i="2"/>
  <c r="D87" i="2"/>
  <c r="D88" i="2"/>
  <c r="D89" i="2"/>
  <c r="D90" i="2"/>
  <c r="D91" i="2"/>
  <c r="D86" i="2"/>
  <c r="D80" i="2"/>
  <c r="D81" i="2"/>
  <c r="D82" i="2"/>
  <c r="D83" i="2"/>
  <c r="D84" i="2"/>
  <c r="D79" i="2"/>
  <c r="D73" i="2"/>
  <c r="D74" i="2"/>
  <c r="D75" i="2"/>
  <c r="D76" i="2"/>
  <c r="D77" i="2"/>
  <c r="D72" i="2"/>
  <c r="D66" i="2"/>
  <c r="D67" i="2"/>
  <c r="D68" i="2"/>
  <c r="D69" i="2"/>
  <c r="D70" i="2"/>
  <c r="D65" i="2"/>
  <c r="D59" i="2"/>
  <c r="D60" i="2"/>
  <c r="D61" i="2"/>
  <c r="D62" i="2"/>
  <c r="D63" i="2"/>
  <c r="D58" i="2"/>
  <c r="D52" i="2"/>
  <c r="D53" i="2"/>
  <c r="D54" i="2"/>
  <c r="D55" i="2"/>
  <c r="D56" i="2"/>
  <c r="D51" i="2"/>
  <c r="D45" i="2"/>
  <c r="D46" i="2"/>
  <c r="D47" i="2"/>
  <c r="D48" i="2"/>
  <c r="D49" i="2"/>
  <c r="D44" i="2"/>
  <c r="D38" i="2"/>
  <c r="D39" i="2"/>
  <c r="D40" i="2"/>
  <c r="D41" i="2"/>
  <c r="D42" i="2"/>
  <c r="D37" i="2"/>
  <c r="D35" i="2"/>
  <c r="D34" i="2"/>
  <c r="D32" i="2"/>
  <c r="D31" i="2"/>
  <c r="D29" i="2"/>
  <c r="D28" i="2"/>
  <c r="D26" i="2"/>
  <c r="D25" i="2"/>
  <c r="D23" i="2"/>
  <c r="D22" i="2"/>
  <c r="D20" i="2"/>
  <c r="D19" i="2"/>
  <c r="D18" i="2"/>
  <c r="D17" i="2"/>
  <c r="D16" i="2"/>
  <c r="D15" i="2"/>
  <c r="D14" i="2"/>
  <c r="D13" i="2"/>
  <c r="I33" i="2" l="1"/>
  <c r="I14" i="2"/>
  <c r="I24" i="2"/>
  <c r="I92" i="2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N10" i="1"/>
  <c r="H14" i="1"/>
  <c r="I14" i="1" s="1"/>
  <c r="H15" i="1"/>
  <c r="I15" i="1" s="1"/>
  <c r="H16" i="1"/>
  <c r="I16" i="1" s="1"/>
  <c r="H17" i="1"/>
  <c r="I17" i="1" s="1"/>
  <c r="H18" i="1"/>
  <c r="I18" i="1" s="1"/>
  <c r="H19" i="1"/>
  <c r="H20" i="1"/>
  <c r="H21" i="1"/>
  <c r="H22" i="1"/>
  <c r="H23" i="1"/>
  <c r="H24" i="1"/>
  <c r="H25" i="1"/>
  <c r="H26" i="1"/>
  <c r="H27" i="1"/>
  <c r="I27" i="1" s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73" i="1"/>
  <c r="H74" i="1"/>
  <c r="H75" i="1"/>
  <c r="H76" i="1"/>
  <c r="H77" i="1"/>
  <c r="I25" i="1" l="1"/>
  <c r="I21" i="1"/>
  <c r="I19" i="1"/>
  <c r="I29" i="1"/>
  <c r="I49" i="1"/>
  <c r="I61" i="1"/>
  <c r="I31" i="1"/>
  <c r="I23" i="1"/>
  <c r="I55" i="1"/>
  <c r="I73" i="1"/>
  <c r="I37" i="1"/>
  <c r="I43" i="1"/>
  <c r="I85" i="1" l="1"/>
  <c r="L85" i="1"/>
  <c r="O79" i="1" l="1"/>
  <c r="P79" i="1" s="1"/>
  <c r="O80" i="1"/>
  <c r="P80" i="1" s="1"/>
  <c r="K94" i="2" s="1"/>
  <c r="O67" i="1"/>
  <c r="P67" i="1" s="1"/>
  <c r="O73" i="1"/>
  <c r="O61" i="1"/>
  <c r="O13" i="1"/>
  <c r="P13" i="1" s="1"/>
  <c r="K13" i="2" s="1"/>
  <c r="L13" i="2" s="1"/>
  <c r="M13" i="2" s="1"/>
  <c r="O49" i="1"/>
  <c r="O43" i="1"/>
  <c r="O25" i="1"/>
  <c r="P25" i="1" s="1"/>
  <c r="O37" i="1"/>
  <c r="O31" i="1"/>
  <c r="O55" i="1"/>
  <c r="O23" i="1"/>
  <c r="P23" i="1" s="1"/>
  <c r="O21" i="1"/>
  <c r="O29" i="1"/>
  <c r="O17" i="1"/>
  <c r="P17" i="1" s="1"/>
  <c r="K17" i="2" s="1"/>
  <c r="O14" i="1"/>
  <c r="P14" i="1" s="1"/>
  <c r="O16" i="1"/>
  <c r="P16" i="1" s="1"/>
  <c r="K16" i="2" s="1"/>
  <c r="O15" i="1"/>
  <c r="P15" i="1" s="1"/>
  <c r="O19" i="1"/>
  <c r="O18" i="1"/>
  <c r="P18" i="1" s="1"/>
  <c r="K18" i="2" s="1"/>
  <c r="O27" i="1"/>
  <c r="K28" i="2" l="1"/>
  <c r="K25" i="2"/>
  <c r="K79" i="2"/>
  <c r="P69" i="1"/>
  <c r="P68" i="1"/>
  <c r="P71" i="1"/>
  <c r="P72" i="1"/>
  <c r="P70" i="1"/>
  <c r="P76" i="1"/>
  <c r="P73" i="1"/>
  <c r="P74" i="1"/>
  <c r="P75" i="1"/>
  <c r="P78" i="1"/>
  <c r="K93" i="2"/>
  <c r="L93" i="2" s="1"/>
  <c r="K15" i="2"/>
  <c r="K14" i="2"/>
  <c r="L14" i="2" s="1"/>
  <c r="P35" i="1"/>
  <c r="P31" i="1"/>
  <c r="P34" i="1"/>
  <c r="P33" i="1"/>
  <c r="P36" i="1"/>
  <c r="P32" i="1"/>
  <c r="P40" i="1"/>
  <c r="P37" i="1"/>
  <c r="P41" i="1"/>
  <c r="P42" i="1"/>
  <c r="P38" i="1"/>
  <c r="P39" i="1"/>
  <c r="P77" i="1"/>
  <c r="P64" i="1"/>
  <c r="P63" i="1"/>
  <c r="P62" i="1"/>
  <c r="P65" i="1"/>
  <c r="P66" i="1"/>
  <c r="P61" i="1"/>
  <c r="P46" i="1"/>
  <c r="P47" i="1"/>
  <c r="P48" i="1"/>
  <c r="P43" i="1"/>
  <c r="P44" i="1"/>
  <c r="P45" i="1"/>
  <c r="P57" i="1"/>
  <c r="P58" i="1"/>
  <c r="P59" i="1"/>
  <c r="P60" i="1"/>
  <c r="P55" i="1"/>
  <c r="P56" i="1"/>
  <c r="P53" i="1"/>
  <c r="P51" i="1"/>
  <c r="P52" i="1"/>
  <c r="P54" i="1"/>
  <c r="P50" i="1"/>
  <c r="P49" i="1"/>
  <c r="P30" i="1"/>
  <c r="P29" i="1"/>
  <c r="P24" i="1"/>
  <c r="P28" i="1"/>
  <c r="P27" i="1"/>
  <c r="P26" i="1"/>
  <c r="P19" i="1"/>
  <c r="P20" i="1"/>
  <c r="P21" i="1"/>
  <c r="P22" i="1"/>
  <c r="O85" i="1"/>
  <c r="K89" i="2" l="1"/>
  <c r="K32" i="2"/>
  <c r="K70" i="2"/>
  <c r="K72" i="2"/>
  <c r="K49" i="2"/>
  <c r="K37" i="2"/>
  <c r="K26" i="2"/>
  <c r="K69" i="2"/>
  <c r="K77" i="2"/>
  <c r="K48" i="2"/>
  <c r="K41" i="2"/>
  <c r="K82" i="2"/>
  <c r="K68" i="2"/>
  <c r="K67" i="2"/>
  <c r="K47" i="2"/>
  <c r="K58" i="2"/>
  <c r="K59" i="2"/>
  <c r="K75" i="2"/>
  <c r="K63" i="2"/>
  <c r="K80" i="2"/>
  <c r="K65" i="2"/>
  <c r="K45" i="2"/>
  <c r="K34" i="2"/>
  <c r="K84" i="2"/>
  <c r="K73" i="2"/>
  <c r="K53" i="2"/>
  <c r="K81" i="2"/>
  <c r="K23" i="2"/>
  <c r="K52" i="2"/>
  <c r="K22" i="2"/>
  <c r="K61" i="2"/>
  <c r="K51" i="2"/>
  <c r="K31" i="2"/>
  <c r="K44" i="2"/>
  <c r="K74" i="2"/>
  <c r="K20" i="2"/>
  <c r="K60" i="2"/>
  <c r="K56" i="2"/>
  <c r="K86" i="2"/>
  <c r="K38" i="2"/>
  <c r="K91" i="2"/>
  <c r="K19" i="2"/>
  <c r="K62" i="2"/>
  <c r="K55" i="2"/>
  <c r="K90" i="2"/>
  <c r="K42" i="2"/>
  <c r="K88" i="2"/>
  <c r="K40" i="2"/>
  <c r="K76" i="2"/>
  <c r="K35" i="2"/>
  <c r="K83" i="2"/>
  <c r="K29" i="2"/>
  <c r="K66" i="2"/>
  <c r="K54" i="2"/>
  <c r="K46" i="2"/>
  <c r="K39" i="2"/>
  <c r="K87" i="2"/>
  <c r="L21" i="2" l="1"/>
  <c r="L33" i="2"/>
  <c r="M33" i="2" s="1"/>
  <c r="L24" i="2"/>
  <c r="M24" i="2" s="1"/>
  <c r="L92" i="2"/>
  <c r="M92" i="2" s="1"/>
  <c r="L18" i="2"/>
  <c r="L17" i="2"/>
  <c r="L16" i="2"/>
  <c r="L15" i="2"/>
  <c r="L94" i="2"/>
  <c r="L85" i="2"/>
  <c r="L78" i="2"/>
  <c r="L71" i="2"/>
  <c r="L64" i="2"/>
  <c r="L57" i="2"/>
  <c r="L50" i="2"/>
  <c r="L43" i="2"/>
  <c r="L36" i="2"/>
  <c r="L30" i="2"/>
  <c r="L27" i="2"/>
  <c r="I27" i="2"/>
  <c r="I94" i="2"/>
  <c r="I93" i="2"/>
  <c r="M93" i="2" s="1"/>
  <c r="I85" i="2"/>
  <c r="I78" i="2"/>
  <c r="I71" i="2"/>
  <c r="I64" i="2"/>
  <c r="I57" i="2"/>
  <c r="I50" i="2"/>
  <c r="I43" i="2"/>
  <c r="I36" i="2"/>
  <c r="I30" i="2"/>
  <c r="I21" i="2"/>
  <c r="I18" i="2"/>
  <c r="I17" i="2"/>
  <c r="I16" i="2"/>
  <c r="I15" i="2"/>
  <c r="H10" i="2"/>
  <c r="I10" i="2" s="1"/>
  <c r="H9" i="2"/>
  <c r="H8" i="2"/>
  <c r="H7" i="2"/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5" i="2" l="1"/>
  <c r="A26" i="2" s="1"/>
  <c r="A22" i="2"/>
  <c r="A23" i="2" s="1"/>
  <c r="A24" i="2" s="1"/>
  <c r="M18" i="2"/>
  <c r="M64" i="2"/>
  <c r="M57" i="2"/>
  <c r="M16" i="2"/>
  <c r="A27" i="2" l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93" i="2" s="1"/>
  <c r="A94" i="2" s="1"/>
  <c r="A95" i="2" s="1"/>
  <c r="A96" i="2" s="1"/>
  <c r="A97" i="2" s="1"/>
  <c r="A98" i="2" s="1"/>
  <c r="A99" i="2" s="1"/>
  <c r="A100" i="2" s="1"/>
  <c r="M15" i="2"/>
  <c r="M14" i="2"/>
  <c r="M30" i="2"/>
  <c r="M21" i="2"/>
  <c r="M27" i="2"/>
  <c r="M85" i="2"/>
  <c r="M94" i="2"/>
  <c r="M36" i="2"/>
  <c r="M17" i="2"/>
  <c r="M71" i="2"/>
  <c r="M78" i="2"/>
  <c r="M50" i="2"/>
  <c r="M43" i="2"/>
  <c r="A86" i="2" l="1"/>
  <c r="A87" i="2" s="1"/>
  <c r="A88" i="2" s="1"/>
  <c r="A89" i="2" s="1"/>
  <c r="A90" i="2" s="1"/>
  <c r="A91" i="2" s="1"/>
  <c r="A92" i="2" s="1"/>
</calcChain>
</file>

<file path=xl/sharedStrings.xml><?xml version="1.0" encoding="utf-8"?>
<sst xmlns="http://schemas.openxmlformats.org/spreadsheetml/2006/main" count="318" uniqueCount="117">
  <si>
    <t>Calculation of Increments Allocated on the EQUAL PERCENTAGE OF MARGIN BASIS</t>
  </si>
  <si>
    <t>Billing</t>
  </si>
  <si>
    <t>WACOG &amp;</t>
  </si>
  <si>
    <t>Temporary</t>
  </si>
  <si>
    <t>Proposed Amount:</t>
  </si>
  <si>
    <t>MARGIN</t>
  </si>
  <si>
    <t>Volumetric</t>
  </si>
  <si>
    <t>Customer</t>
  </si>
  <si>
    <t>Total</t>
  </si>
  <si>
    <t>Revenue Sensitive Multiplier:</t>
  </si>
  <si>
    <t>add revenue sensitive factor</t>
  </si>
  <si>
    <t>Rate</t>
  </si>
  <si>
    <t>Margin</t>
  </si>
  <si>
    <t>Charge</t>
  </si>
  <si>
    <t>Customers</t>
  </si>
  <si>
    <t>Amount to Amortize:</t>
  </si>
  <si>
    <t>E=B-C-D</t>
  </si>
  <si>
    <t>I = (G*H*12)+F</t>
  </si>
  <si>
    <t>Multiplier</t>
  </si>
  <si>
    <t>Allocation to RS</t>
  </si>
  <si>
    <t>Increment</t>
  </si>
  <si>
    <t>Schedule</t>
  </si>
  <si>
    <t>Block</t>
  </si>
  <si>
    <t>A</t>
  </si>
  <si>
    <t>B</t>
  </si>
  <si>
    <t>C</t>
  </si>
  <si>
    <t>D</t>
  </si>
  <si>
    <t>E</t>
  </si>
  <si>
    <t>F = E * A</t>
  </si>
  <si>
    <t>G</t>
  </si>
  <si>
    <t>H</t>
  </si>
  <si>
    <t>S</t>
  </si>
  <si>
    <t>T</t>
  </si>
  <si>
    <t>U</t>
  </si>
  <si>
    <t>1R</t>
  </si>
  <si>
    <t>1C</t>
  </si>
  <si>
    <t>2R</t>
  </si>
  <si>
    <t>3 CFS</t>
  </si>
  <si>
    <t>3 IFS</t>
  </si>
  <si>
    <t>41C Firm Sales</t>
  </si>
  <si>
    <t>Block 1</t>
  </si>
  <si>
    <t>Block 2</t>
  </si>
  <si>
    <t>41C Interr Sales</t>
  </si>
  <si>
    <t>41I Firm Sales</t>
  </si>
  <si>
    <t>41I Interr Sales</t>
  </si>
  <si>
    <t>42C Firm Sales</t>
  </si>
  <si>
    <t>Block 3</t>
  </si>
  <si>
    <t>Block 4</t>
  </si>
  <si>
    <t>Block 5</t>
  </si>
  <si>
    <t>Block 6</t>
  </si>
  <si>
    <t>42I Firm Sales</t>
  </si>
  <si>
    <t>42C Firm Trans</t>
  </si>
  <si>
    <t>42I Firm Trans</t>
  </si>
  <si>
    <t>42C Interr Sales</t>
  </si>
  <si>
    <t>42I Interr Sales</t>
  </si>
  <si>
    <t>43 Firm Trans</t>
  </si>
  <si>
    <t>43 Interr Trans</t>
  </si>
  <si>
    <t>Intentionally blank</t>
  </si>
  <si>
    <t>Totals</t>
  </si>
  <si>
    <t>Tariff Schedules:</t>
  </si>
  <si>
    <t>Schedule #</t>
  </si>
  <si>
    <t>Note: Allocation to rate schedules or blocks with zero volumes is calculated on an overall margin percentage change basis.</t>
  </si>
  <si>
    <t>Calculation of Effect on Customer Average Bill by Rate Schedule [1]</t>
  </si>
  <si>
    <t>Normal</t>
  </si>
  <si>
    <t>Current</t>
  </si>
  <si>
    <t>Proposed</t>
  </si>
  <si>
    <t>Therms</t>
  </si>
  <si>
    <t>Minimum</t>
  </si>
  <si>
    <t>Therms in</t>
  </si>
  <si>
    <t>Monthly</t>
  </si>
  <si>
    <t>Rates</t>
  </si>
  <si>
    <t>Average Bill</t>
  </si>
  <si>
    <t>% Bill Change</t>
  </si>
  <si>
    <t>F=D+(C * E)</t>
  </si>
  <si>
    <t>F</t>
  </si>
  <si>
    <t>N/A</t>
  </si>
  <si>
    <t>all additional</t>
  </si>
  <si>
    <t>TOTAL</t>
  </si>
  <si>
    <t>[1] Rate Schedule 41 and 42 customers may choose demand charges at a volumetric rate or based on MDDV.  For convenience of presentation, demand charges are not included in the calculations for those schedules.</t>
  </si>
  <si>
    <t>Sources:</t>
  </si>
  <si>
    <t>Direct Inputs</t>
  </si>
  <si>
    <t>per Tariff</t>
  </si>
  <si>
    <t>NW Natural</t>
  </si>
  <si>
    <t>Rates &amp; Regulatory Affairs</t>
  </si>
  <si>
    <t>Volumes</t>
  </si>
  <si>
    <t>Demand Rate</t>
  </si>
  <si>
    <t>Average Use</t>
  </si>
  <si>
    <t>Bill</t>
  </si>
  <si>
    <t>Average</t>
  </si>
  <si>
    <t>[2]</t>
  </si>
  <si>
    <t>[2] Proposed new ECRM rates is equal to Current Billing Rate plus New ECRM rates less Current ECRM rates.</t>
  </si>
  <si>
    <t>I</t>
  </si>
  <si>
    <t>T = D+(C*G)</t>
  </si>
  <si>
    <t>I=(K-I)/I</t>
  </si>
  <si>
    <t>Effects on Average Bill by Rate Schedule</t>
  </si>
  <si>
    <t xml:space="preserve">PGA </t>
  </si>
  <si>
    <t>n/a</t>
  </si>
  <si>
    <t>27R</t>
  </si>
  <si>
    <t>41C Firm Transpt</t>
  </si>
  <si>
    <t>41I Firm Transpt</t>
  </si>
  <si>
    <t>42C Firm Transpt</t>
  </si>
  <si>
    <t>42I Firm Transpt</t>
  </si>
  <si>
    <t>42C Inter Transpt</t>
  </si>
  <si>
    <t>42I Inter Transpt</t>
  </si>
  <si>
    <t>43 Firm Transpt</t>
  </si>
  <si>
    <t>43 Interr Transpt</t>
  </si>
  <si>
    <t>Special Contract</t>
  </si>
  <si>
    <t>42C Inter Trans</t>
  </si>
  <si>
    <t>42I Inter Trans</t>
  </si>
  <si>
    <t>J</t>
  </si>
  <si>
    <t>2023-2024 Residential Bill Discount Program Filing - Washington</t>
  </si>
  <si>
    <t>2023-2024 Residential Bill Discount Program (RBDP) Filing - Washington</t>
  </si>
  <si>
    <t>RBDP</t>
  </si>
  <si>
    <t>Residential Bill Discount Program</t>
  </si>
  <si>
    <t>Sched 231</t>
  </si>
  <si>
    <t>Allocated to Rate Schedules</t>
  </si>
  <si>
    <t>All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</si>
</sst>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#,##0.00000_);\(#,##0.00000\)"/>
    <numFmt numFmtId="166" formatCode="0.000%"/>
    <numFmt numFmtId="167" formatCode="&quot;$&quot;#,##0.00000"/>
    <numFmt numFmtId="168" formatCode="&quot;$&quot;#,##0"/>
    <numFmt numFmtId="169" formatCode="#,##0.0_);\(#,##0.0\)"/>
    <numFmt numFmtId="170" formatCode="&quot;$&quot;#,##0.00000_);\(&quot;$&quot;#,##0.00000\)"/>
    <numFmt numFmtId="171" formatCode="0.00_);\(0.00\)"/>
    <numFmt numFmtId="172" formatCode="0.0%"/>
    <numFmt numFmtId="173" formatCode="_(* #,##0_);_(* \(#,##0\);_(* &quot;-&quot;??_);_(@_)"/>
    <numFmt numFmtId="174" formatCode="_(&quot;$&quot;* #,##0_);_(&quot;$&quot;* \(#,##0\);_(&quot;$&quot;* &quot;-&quot;??_);_(@_)"/>
    <numFmt numFmtId="175" formatCode="_(&quot;$&quot;* #,##0.00000_);_(&quot;$&quot;* \(#,##0.00000\);_(&quot;$&quot;* &quot;-&quot;??_);_(@_)"/>
  </numFmts>
  <fonts count="13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</font>
    <font>
      <b/>
      <u/>
      <sz val="11"/>
      <name val="Calibri"/>
      <family val="2"/>
      <scheme val="minor"/>
    </font>
    <font>
      <sz val="10"/>
      <name val="Times New Roma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74">
    <xf numFmtId="0" fontId="0" fillId="0" borderId="0" xfId="0"/>
    <xf numFmtId="173" fontId="4" fillId="0" borderId="2" xfId="5" applyNumberFormat="1" applyFont="1" applyFill="1" applyBorder="1" applyAlignment="1">
      <alignment horizontal="center"/>
    </xf>
    <xf numFmtId="173" fontId="4" fillId="0" borderId="6" xfId="5" applyNumberFormat="1" applyFont="1" applyFill="1" applyBorder="1" applyAlignment="1">
      <alignment horizontal="center"/>
    </xf>
    <xf numFmtId="173" fontId="4" fillId="0" borderId="4" xfId="5" applyNumberFormat="1" applyFont="1" applyFill="1" applyBorder="1"/>
    <xf numFmtId="0" fontId="10" fillId="2" borderId="0" xfId="0" applyFont="1" applyFill="1"/>
    <xf numFmtId="0" fontId="2" fillId="2" borderId="0" xfId="0" applyFont="1" applyFill="1"/>
    <xf numFmtId="0" fontId="2" fillId="0" borderId="0" xfId="0" applyFont="1"/>
    <xf numFmtId="39" fontId="2" fillId="2" borderId="0" xfId="0" applyNumberFormat="1" applyFont="1" applyFill="1"/>
    <xf numFmtId="170" fontId="2" fillId="2" borderId="0" xfId="0" applyNumberFormat="1" applyFont="1" applyFill="1"/>
    <xf numFmtId="7" fontId="2" fillId="2" borderId="0" xfId="0" applyNumberFormat="1" applyFont="1" applyFill="1"/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170" fontId="10" fillId="2" borderId="0" xfId="0" applyNumberFormat="1" applyFont="1" applyFill="1" applyAlignment="1">
      <alignment horizontal="center"/>
    </xf>
    <xf numFmtId="7" fontId="10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4" fontId="2" fillId="0" borderId="0" xfId="0" applyNumberFormat="1" applyFont="1" applyAlignment="1">
      <alignment horizontal="center"/>
    </xf>
    <xf numFmtId="14" fontId="2" fillId="2" borderId="0" xfId="0" applyNumberFormat="1" applyFont="1" applyFill="1" applyAlignment="1">
      <alignment horizontal="center"/>
    </xf>
    <xf numFmtId="14" fontId="2" fillId="2" borderId="30" xfId="0" applyNumberFormat="1" applyFont="1" applyFill="1" applyBorder="1" applyAlignment="1">
      <alignment horizontal="center"/>
    </xf>
    <xf numFmtId="14" fontId="2" fillId="2" borderId="3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14" fontId="2" fillId="2" borderId="13" xfId="0" applyNumberFormat="1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10" fillId="2" borderId="0" xfId="0" applyFont="1" applyFill="1" applyAlignment="1">
      <alignment horizontal="right"/>
    </xf>
    <xf numFmtId="0" fontId="10" fillId="0" borderId="0" xfId="0" applyFont="1" applyAlignment="1">
      <alignment horizontal="right"/>
    </xf>
    <xf numFmtId="0" fontId="10" fillId="2" borderId="35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2" borderId="3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37" fontId="2" fillId="2" borderId="4" xfId="0" applyNumberFormat="1" applyFont="1" applyFill="1" applyBorder="1"/>
    <xf numFmtId="165" fontId="2" fillId="2" borderId="4" xfId="0" applyNumberFormat="1" applyFont="1" applyFill="1" applyBorder="1" applyAlignment="1">
      <alignment horizontal="center"/>
    </xf>
    <xf numFmtId="169" fontId="2" fillId="0" borderId="4" xfId="0" applyNumberFormat="1" applyFont="1" applyBorder="1"/>
    <xf numFmtId="44" fontId="2" fillId="2" borderId="4" xfId="0" applyNumberFormat="1" applyFont="1" applyFill="1" applyBorder="1"/>
    <xf numFmtId="170" fontId="2" fillId="2" borderId="4" xfId="0" applyNumberFormat="1" applyFont="1" applyFill="1" applyBorder="1"/>
    <xf numFmtId="7" fontId="2" fillId="2" borderId="4" xfId="0" applyNumberFormat="1" applyFont="1" applyFill="1" applyBorder="1"/>
    <xf numFmtId="7" fontId="10" fillId="2" borderId="4" xfId="0" applyNumberFormat="1" applyFont="1" applyFill="1" applyBorder="1"/>
    <xf numFmtId="172" fontId="10" fillId="2" borderId="33" xfId="2" applyNumberFormat="1" applyFont="1" applyFill="1" applyBorder="1"/>
    <xf numFmtId="0" fontId="2" fillId="2" borderId="4" xfId="0" applyFont="1" applyFill="1" applyBorder="1" applyAlignment="1">
      <alignment horizontal="center"/>
    </xf>
    <xf numFmtId="171" fontId="2" fillId="2" borderId="0" xfId="0" applyNumberFormat="1" applyFont="1" applyFill="1" applyAlignment="1">
      <alignment horizontal="center"/>
    </xf>
    <xf numFmtId="37" fontId="2" fillId="2" borderId="0" xfId="0" applyNumberFormat="1" applyFont="1" applyFill="1"/>
    <xf numFmtId="37" fontId="2" fillId="2" borderId="0" xfId="0" applyNumberFormat="1" applyFont="1" applyFill="1" applyAlignment="1">
      <alignment horizontal="center"/>
    </xf>
    <xf numFmtId="169" fontId="2" fillId="0" borderId="0" xfId="0" applyNumberFormat="1" applyFont="1"/>
    <xf numFmtId="44" fontId="2" fillId="2" borderId="0" xfId="0" applyNumberFormat="1" applyFont="1" applyFill="1"/>
    <xf numFmtId="172" fontId="2" fillId="2" borderId="31" xfId="2" applyNumberFormat="1" applyFont="1" applyFill="1" applyBorder="1"/>
    <xf numFmtId="171" fontId="10" fillId="2" borderId="4" xfId="0" applyNumberFormat="1" applyFont="1" applyFill="1" applyBorder="1" applyAlignment="1">
      <alignment horizontal="center"/>
    </xf>
    <xf numFmtId="37" fontId="10" fillId="2" borderId="4" xfId="0" applyNumberFormat="1" applyFont="1" applyFill="1" applyBorder="1"/>
    <xf numFmtId="37" fontId="10" fillId="2" borderId="4" xfId="0" applyNumberFormat="1" applyFont="1" applyFill="1" applyBorder="1" applyAlignment="1">
      <alignment horizontal="center"/>
    </xf>
    <xf numFmtId="169" fontId="10" fillId="0" borderId="4" xfId="0" applyNumberFormat="1" applyFont="1" applyBorder="1"/>
    <xf numFmtId="170" fontId="10" fillId="2" borderId="4" xfId="0" applyNumberFormat="1" applyFont="1" applyFill="1" applyBorder="1"/>
    <xf numFmtId="169" fontId="10" fillId="0" borderId="0" xfId="0" applyNumberFormat="1" applyFont="1"/>
    <xf numFmtId="7" fontId="10" fillId="2" borderId="0" xfId="0" applyNumberFormat="1" applyFont="1" applyFill="1"/>
    <xf numFmtId="0" fontId="11" fillId="2" borderId="0" xfId="0" applyFont="1" applyFill="1" applyAlignment="1">
      <alignment horizontal="center"/>
    </xf>
    <xf numFmtId="172" fontId="10" fillId="2" borderId="31" xfId="2" applyNumberFormat="1" applyFont="1" applyFill="1" applyBorder="1"/>
    <xf numFmtId="37" fontId="2" fillId="2" borderId="2" xfId="0" applyNumberFormat="1" applyFont="1" applyFill="1" applyBorder="1"/>
    <xf numFmtId="165" fontId="2" fillId="2" borderId="2" xfId="0" applyNumberFormat="1" applyFont="1" applyFill="1" applyBorder="1" applyAlignment="1">
      <alignment horizontal="center"/>
    </xf>
    <xf numFmtId="169" fontId="2" fillId="0" borderId="2" xfId="0" applyNumberFormat="1" applyFont="1" applyBorder="1"/>
    <xf numFmtId="7" fontId="2" fillId="2" borderId="2" xfId="0" applyNumberFormat="1" applyFont="1" applyFill="1" applyBorder="1"/>
    <xf numFmtId="170" fontId="2" fillId="2" borderId="2" xfId="0" applyNumberFormat="1" applyFont="1" applyFill="1" applyBorder="1"/>
    <xf numFmtId="172" fontId="10" fillId="2" borderId="34" xfId="2" applyNumberFormat="1" applyFont="1" applyFill="1" applyBorder="1"/>
    <xf numFmtId="39" fontId="2" fillId="2" borderId="4" xfId="0" applyNumberFormat="1" applyFont="1" applyFill="1" applyBorder="1"/>
    <xf numFmtId="165" fontId="2" fillId="2" borderId="4" xfId="0" applyNumberFormat="1" applyFont="1" applyFill="1" applyBorder="1"/>
    <xf numFmtId="39" fontId="2" fillId="2" borderId="2" xfId="0" applyNumberFormat="1" applyFont="1" applyFill="1" applyBorder="1"/>
    <xf numFmtId="39" fontId="2" fillId="2" borderId="32" xfId="0" applyNumberFormat="1" applyFont="1" applyFill="1" applyBorder="1"/>
    <xf numFmtId="0" fontId="12" fillId="2" borderId="0" xfId="0" applyFont="1" applyFill="1"/>
    <xf numFmtId="43" fontId="2" fillId="2" borderId="0" xfId="4" applyFont="1" applyFill="1" applyBorder="1"/>
    <xf numFmtId="0" fontId="2" fillId="2" borderId="29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71" fontId="9" fillId="0" borderId="0" xfId="0" applyNumberFormat="1" applyFont="1" applyAlignment="1">
      <alignment horizontal="center"/>
    </xf>
    <xf numFmtId="175" fontId="4" fillId="0" borderId="0" xfId="1" applyNumberFormat="1" applyFont="1" applyFill="1" applyAlignment="1">
      <alignment horizontal="center"/>
    </xf>
    <xf numFmtId="174" fontId="4" fillId="0" borderId="0" xfId="1" applyNumberFormat="1" applyFont="1" applyFill="1" applyAlignment="1">
      <alignment horizontal="center"/>
    </xf>
    <xf numFmtId="165" fontId="4" fillId="0" borderId="27" xfId="0" applyNumberFormat="1" applyFont="1" applyBorder="1"/>
    <xf numFmtId="5" fontId="4" fillId="0" borderId="0" xfId="3" applyNumberFormat="1" applyFont="1"/>
    <xf numFmtId="165" fontId="4" fillId="0" borderId="22" xfId="3" applyNumberFormat="1" applyFont="1" applyBorder="1"/>
    <xf numFmtId="172" fontId="4" fillId="0" borderId="0" xfId="2" applyNumberFormat="1" applyFont="1" applyFill="1"/>
    <xf numFmtId="0" fontId="4" fillId="0" borderId="0" xfId="0" applyFont="1"/>
    <xf numFmtId="171" fontId="9" fillId="0" borderId="4" xfId="0" applyNumberFormat="1" applyFont="1" applyBorder="1" applyAlignment="1">
      <alignment horizontal="center"/>
    </xf>
    <xf numFmtId="175" fontId="4" fillId="0" borderId="4" xfId="1" applyNumberFormat="1" applyFont="1" applyFill="1" applyBorder="1" applyAlignment="1">
      <alignment horizontal="center"/>
    </xf>
    <xf numFmtId="174" fontId="4" fillId="0" borderId="4" xfId="1" applyNumberFormat="1" applyFont="1" applyFill="1" applyBorder="1" applyAlignment="1">
      <alignment horizontal="center"/>
    </xf>
    <xf numFmtId="165" fontId="4" fillId="0" borderId="25" xfId="0" applyNumberFormat="1" applyFont="1" applyBorder="1"/>
    <xf numFmtId="5" fontId="4" fillId="0" borderId="4" xfId="0" applyNumberFormat="1" applyFont="1" applyBorder="1"/>
    <xf numFmtId="165" fontId="4" fillId="0" borderId="24" xfId="0" applyNumberFormat="1" applyFont="1" applyBorder="1"/>
    <xf numFmtId="0" fontId="3" fillId="0" borderId="0" xfId="0" applyFont="1"/>
    <xf numFmtId="165" fontId="4" fillId="0" borderId="0" xfId="0" applyNumberFormat="1" applyFont="1"/>
    <xf numFmtId="44" fontId="4" fillId="0" borderId="0" xfId="0" applyNumberFormat="1" applyFont="1"/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8" xfId="0" applyFont="1" applyBorder="1"/>
    <xf numFmtId="5" fontId="3" fillId="0" borderId="12" xfId="1" applyNumberFormat="1" applyFont="1" applyFill="1" applyBorder="1"/>
    <xf numFmtId="0" fontId="4" fillId="0" borderId="13" xfId="0" applyFont="1" applyBorder="1"/>
    <xf numFmtId="165" fontId="4" fillId="0" borderId="14" xfId="0" applyNumberFormat="1" applyFont="1" applyBorder="1"/>
    <xf numFmtId="0" fontId="4" fillId="0" borderId="10" xfId="0" applyFont="1" applyBorder="1" applyAlignment="1">
      <alignment horizontal="left"/>
    </xf>
    <xf numFmtId="165" fontId="4" fillId="0" borderId="11" xfId="0" applyNumberFormat="1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14" fontId="4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5" xfId="0" applyFont="1" applyBorder="1"/>
    <xf numFmtId="5" fontId="3" fillId="0" borderId="16" xfId="1" applyNumberFormat="1" applyFont="1" applyFill="1" applyBorder="1"/>
    <xf numFmtId="37" fontId="4" fillId="0" borderId="17" xfId="0" applyNumberFormat="1" applyFont="1" applyBorder="1"/>
    <xf numFmtId="165" fontId="4" fillId="0" borderId="18" xfId="0" applyNumberFormat="1" applyFont="1" applyBorder="1"/>
    <xf numFmtId="0" fontId="3" fillId="0" borderId="0" xfId="0" applyFont="1" applyAlignment="1">
      <alignment horizontal="right"/>
    </xf>
    <xf numFmtId="0" fontId="3" fillId="0" borderId="20" xfId="0" applyFont="1" applyBorder="1" applyAlignment="1">
      <alignment horizontal="right"/>
    </xf>
    <xf numFmtId="0" fontId="3" fillId="0" borderId="21" xfId="0" applyFont="1" applyBorder="1" applyAlignment="1">
      <alignment horizontal="center"/>
    </xf>
    <xf numFmtId="165" fontId="4" fillId="0" borderId="22" xfId="0" applyNumberFormat="1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165" fontId="3" fillId="0" borderId="24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75" fontId="4" fillId="0" borderId="2" xfId="1" applyNumberFormat="1" applyFont="1" applyFill="1" applyBorder="1" applyAlignment="1">
      <alignment horizontal="center"/>
    </xf>
    <xf numFmtId="174" fontId="4" fillId="0" borderId="2" xfId="1" applyNumberFormat="1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165" fontId="4" fillId="0" borderId="20" xfId="0" applyNumberFormat="1" applyFont="1" applyBorder="1"/>
    <xf numFmtId="174" fontId="4" fillId="0" borderId="0" xfId="1" applyNumberFormat="1" applyFont="1" applyFill="1" applyBorder="1" applyAlignment="1">
      <alignment horizontal="center"/>
    </xf>
    <xf numFmtId="174" fontId="4" fillId="0" borderId="23" xfId="1" applyNumberFormat="1" applyFont="1" applyFill="1" applyBorder="1" applyAlignment="1">
      <alignment horizontal="center"/>
    </xf>
    <xf numFmtId="5" fontId="4" fillId="0" borderId="0" xfId="3" quotePrefix="1" applyNumberFormat="1" applyFont="1"/>
    <xf numFmtId="165" fontId="4" fillId="0" borderId="22" xfId="3" quotePrefix="1" applyNumberFormat="1" applyFont="1" applyBorder="1"/>
    <xf numFmtId="5" fontId="4" fillId="0" borderId="0" xfId="0" applyNumberFormat="1" applyFont="1"/>
    <xf numFmtId="165" fontId="4" fillId="0" borderId="22" xfId="0" applyNumberFormat="1" applyFont="1" applyBorder="1"/>
    <xf numFmtId="175" fontId="4" fillId="0" borderId="23" xfId="1" applyNumberFormat="1" applyFont="1" applyFill="1" applyBorder="1" applyAlignment="1">
      <alignment horizontal="center"/>
    </xf>
    <xf numFmtId="173" fontId="4" fillId="0" borderId="0" xfId="5" applyNumberFormat="1" applyFont="1" applyFill="1" applyAlignment="1">
      <alignment horizontal="center"/>
    </xf>
    <xf numFmtId="173" fontId="4" fillId="0" borderId="4" xfId="5" applyNumberFormat="1" applyFont="1" applyFill="1" applyBorder="1" applyAlignment="1">
      <alignment horizontal="center"/>
    </xf>
    <xf numFmtId="165" fontId="4" fillId="0" borderId="28" xfId="0" applyNumberFormat="1" applyFont="1" applyBorder="1"/>
    <xf numFmtId="165" fontId="4" fillId="0" borderId="3" xfId="0" applyNumberFormat="1" applyFont="1" applyBorder="1"/>
    <xf numFmtId="0" fontId="9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37" fontId="4" fillId="0" borderId="0" xfId="0" applyNumberFormat="1" applyFont="1"/>
    <xf numFmtId="168" fontId="4" fillId="0" borderId="0" xfId="0" applyNumberFormat="1" applyFont="1"/>
    <xf numFmtId="5" fontId="4" fillId="0" borderId="0" xfId="0" applyNumberFormat="1" applyFont="1" applyAlignment="1">
      <alignment horizontal="center"/>
    </xf>
    <xf numFmtId="0" fontId="6" fillId="0" borderId="0" xfId="0" applyFont="1"/>
    <xf numFmtId="0" fontId="3" fillId="0" borderId="29" xfId="0" applyFont="1" applyBorder="1"/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165" fontId="4" fillId="0" borderId="10" xfId="0" applyNumberFormat="1" applyFont="1" applyBorder="1"/>
    <xf numFmtId="169" fontId="4" fillId="0" borderId="0" xfId="0" applyNumberFormat="1" applyFont="1"/>
    <xf numFmtId="0" fontId="3" fillId="0" borderId="19" xfId="0" applyFont="1" applyBorder="1" applyAlignment="1">
      <alignment horizontal="center" wrapText="1"/>
    </xf>
    <xf numFmtId="0" fontId="3" fillId="0" borderId="24" xfId="0" applyFont="1" applyBorder="1" applyAlignment="1">
      <alignment horizontal="center" wrapText="1"/>
    </xf>
    <xf numFmtId="37" fontId="3" fillId="0" borderId="5" xfId="0" applyNumberFormat="1" applyFont="1" applyBorder="1" applyAlignment="1">
      <alignment horizontal="center"/>
    </xf>
    <xf numFmtId="37" fontId="3" fillId="0" borderId="6" xfId="0" applyNumberFormat="1" applyFont="1" applyBorder="1" applyAlignment="1">
      <alignment horizontal="center"/>
    </xf>
    <xf numFmtId="37" fontId="3" fillId="0" borderId="7" xfId="0" applyNumberFormat="1" applyFont="1" applyBorder="1" applyAlignment="1">
      <alignment horizontal="center"/>
    </xf>
    <xf numFmtId="37" fontId="10" fillId="2" borderId="0" xfId="0" applyNumberFormat="1" applyFont="1" applyFill="1" applyAlignment="1">
      <alignment horizontal="left" vertical="top" wrapText="1"/>
    </xf>
    <xf numFmtId="0" fontId="10" fillId="2" borderId="0" xfId="0" applyFont="1" applyFill="1" applyAlignment="1">
      <alignment horizontal="left" vertical="top" wrapText="1"/>
    </xf>
    <xf numFmtId="168" fontId="4" fillId="0" borderId="4" xfId="0" applyNumberFormat="1" applyFont="1" applyBorder="1"/>
    <xf numFmtId="168" fontId="4" fillId="0" borderId="0" xfId="3" quotePrefix="1" applyNumberFormat="1" applyFont="1"/>
    <xf numFmtId="168" fontId="4" fillId="0" borderId="22" xfId="0" applyNumberFormat="1" applyFont="1" applyBorder="1"/>
    <xf numFmtId="164" fontId="4" fillId="0" borderId="0" xfId="0" applyNumberFormat="1" applyFont="1"/>
    <xf numFmtId="175" fontId="4" fillId="0" borderId="0" xfId="1" applyNumberFormat="1" applyFont="1" applyFill="1" applyBorder="1" applyAlignment="1">
      <alignment horizontal="center"/>
    </xf>
    <xf numFmtId="166" fontId="4" fillId="0" borderId="9" xfId="2" applyNumberFormat="1" applyFont="1" applyFill="1" applyBorder="1" applyAlignment="1">
      <alignment horizontal="right"/>
    </xf>
    <xf numFmtId="44" fontId="4" fillId="0" borderId="2" xfId="1" applyFont="1" applyFill="1" applyBorder="1" applyAlignment="1">
      <alignment horizontal="center"/>
    </xf>
    <xf numFmtId="169" fontId="4" fillId="0" borderId="26" xfId="0" applyNumberFormat="1" applyFont="1" applyBorder="1" applyAlignment="1">
      <alignment horizontal="center"/>
    </xf>
    <xf numFmtId="44" fontId="4" fillId="0" borderId="0" xfId="1" applyFont="1" applyFill="1" applyAlignment="1">
      <alignment horizontal="center"/>
    </xf>
    <xf numFmtId="169" fontId="4" fillId="0" borderId="21" xfId="0" applyNumberFormat="1" applyFont="1" applyBorder="1" applyAlignment="1">
      <alignment horizontal="center"/>
    </xf>
    <xf numFmtId="44" fontId="4" fillId="0" borderId="4" xfId="1" applyFont="1" applyFill="1" applyBorder="1" applyAlignment="1">
      <alignment horizontal="center"/>
    </xf>
    <xf numFmtId="44" fontId="4" fillId="0" borderId="0" xfId="1" applyFont="1" applyFill="1" applyBorder="1" applyAlignment="1">
      <alignment horizontal="center"/>
    </xf>
    <xf numFmtId="173" fontId="4" fillId="0" borderId="0" xfId="5" applyNumberFormat="1" applyFont="1" applyFill="1" applyBorder="1" applyAlignment="1">
      <alignment horizontal="center"/>
    </xf>
    <xf numFmtId="44" fontId="4" fillId="0" borderId="23" xfId="1" applyFont="1" applyFill="1" applyBorder="1" applyAlignment="1">
      <alignment horizontal="center"/>
    </xf>
    <xf numFmtId="173" fontId="4" fillId="0" borderId="23" xfId="5" applyNumberFormat="1" applyFont="1" applyFill="1" applyBorder="1" applyAlignment="1">
      <alignment horizontal="center"/>
    </xf>
    <xf numFmtId="0" fontId="4" fillId="0" borderId="4" xfId="0" applyFont="1" applyBorder="1"/>
    <xf numFmtId="169" fontId="4" fillId="0" borderId="1" xfId="0" applyNumberFormat="1" applyFont="1" applyBorder="1" applyAlignment="1">
      <alignment horizontal="center"/>
    </xf>
    <xf numFmtId="167" fontId="4" fillId="0" borderId="0" xfId="0" applyNumberFormat="1" applyFont="1"/>
    <xf numFmtId="169" fontId="4" fillId="0" borderId="0" xfId="0" applyNumberFormat="1" applyFont="1" applyAlignment="1">
      <alignment horizontal="center"/>
    </xf>
    <xf numFmtId="10" fontId="4" fillId="0" borderId="0" xfId="2" applyNumberFormat="1" applyFont="1" applyFill="1" applyAlignment="1">
      <alignment horizontal="center"/>
    </xf>
  </cellXfs>
  <cellStyles count="6">
    <cellStyle name="Comma" xfId="5" builtinId="3"/>
    <cellStyle name="Comma 2" xfId="4" xr:uid="{39F6EA37-F18B-4A31-9D2E-0154FD8C9A8C}"/>
    <cellStyle name="Currency" xfId="1" builtinId="4"/>
    <cellStyle name="Normal" xfId="0" builtinId="0"/>
    <cellStyle name="Normal_Book3" xfId="3" xr:uid="{FB00B023-30EF-4568-8C85-ED3733174AF1}"/>
    <cellStyle name="Percent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07796-32F1-4035-BBD3-7678D7D2C749}">
  <sheetPr>
    <tabColor theme="3" tint="0.39997558519241921"/>
    <pageSetUpPr fitToPage="1"/>
  </sheetPr>
  <dimension ref="A1:Q99"/>
  <sheetViews>
    <sheetView showGridLines="0" tabSelected="1" zoomScaleNormal="100" workbookViewId="0">
      <selection activeCell="L74" sqref="L74"/>
    </sheetView>
  </sheetViews>
  <sheetFormatPr defaultColWidth="9.33203125" defaultRowHeight="15" x14ac:dyDescent="0.25"/>
  <cols>
    <col min="1" max="1" width="5.6640625" style="84" customWidth="1"/>
    <col min="2" max="2" width="17.33203125" style="84" customWidth="1"/>
    <col min="3" max="3" width="8.33203125" style="84" customWidth="1"/>
    <col min="4" max="4" width="16.5" style="84" customWidth="1"/>
    <col min="5" max="5" width="13.33203125" style="84" customWidth="1"/>
    <col min="6" max="6" width="16.6640625" style="84" customWidth="1"/>
    <col min="7" max="7" width="19.5" style="84" customWidth="1"/>
    <col min="8" max="8" width="12.6640625" style="84" customWidth="1"/>
    <col min="9" max="9" width="19.6640625" style="84" customWidth="1"/>
    <col min="10" max="10" width="14" style="84" customWidth="1"/>
    <col min="11" max="11" width="11.5" style="84" customWidth="1"/>
    <col min="12" max="12" width="19.83203125" style="84" customWidth="1"/>
    <col min="13" max="13" width="29.5" style="84" customWidth="1"/>
    <col min="14" max="16" width="17.6640625" style="92" customWidth="1"/>
    <col min="17" max="16384" width="9.33203125" style="84"/>
  </cols>
  <sheetData>
    <row r="1" spans="1:16" x14ac:dyDescent="0.25">
      <c r="A1" s="91" t="s">
        <v>82</v>
      </c>
      <c r="I1" s="157"/>
    </row>
    <row r="2" spans="1:16" x14ac:dyDescent="0.25">
      <c r="A2" s="91" t="s">
        <v>83</v>
      </c>
      <c r="I2" s="157"/>
    </row>
    <row r="3" spans="1:16" x14ac:dyDescent="0.25">
      <c r="A3" s="91" t="s">
        <v>110</v>
      </c>
      <c r="I3" s="157"/>
      <c r="J3" s="158"/>
    </row>
    <row r="4" spans="1:16" x14ac:dyDescent="0.25">
      <c r="A4" s="91" t="s">
        <v>0</v>
      </c>
      <c r="I4" s="157"/>
    </row>
    <row r="5" spans="1:16" x14ac:dyDescent="0.25">
      <c r="I5" s="157"/>
      <c r="J5" s="93"/>
    </row>
    <row r="6" spans="1:16" x14ac:dyDescent="0.25">
      <c r="A6" s="91"/>
      <c r="B6" s="91"/>
      <c r="C6" s="91"/>
      <c r="D6" s="91"/>
      <c r="H6" s="94"/>
      <c r="I6" s="157"/>
      <c r="J6" s="94"/>
    </row>
    <row r="7" spans="1:16" ht="15" customHeight="1" thickBot="1" x14ac:dyDescent="0.3">
      <c r="A7" s="75">
        <v>1</v>
      </c>
      <c r="E7" s="75" t="s">
        <v>64</v>
      </c>
      <c r="F7" s="75" t="s">
        <v>64</v>
      </c>
      <c r="G7" s="75" t="s">
        <v>64</v>
      </c>
      <c r="H7" s="95"/>
      <c r="I7" s="75"/>
      <c r="J7" s="95"/>
      <c r="K7" s="75"/>
      <c r="L7" s="75"/>
      <c r="N7" s="149" t="s">
        <v>113</v>
      </c>
      <c r="O7" s="150"/>
      <c r="P7" s="151"/>
    </row>
    <row r="8" spans="1:16" ht="15" customHeight="1" thickBot="1" x14ac:dyDescent="0.3">
      <c r="A8" s="75">
        <f t="shared" ref="A8:A71" si="0">+A7+1</f>
        <v>2</v>
      </c>
      <c r="E8" s="75" t="s">
        <v>1</v>
      </c>
      <c r="F8" s="75" t="s">
        <v>2</v>
      </c>
      <c r="G8" s="75" t="s">
        <v>3</v>
      </c>
      <c r="H8" s="95"/>
      <c r="I8" s="75"/>
      <c r="J8" s="95"/>
      <c r="K8" s="75"/>
      <c r="L8" s="75"/>
      <c r="M8" s="96" t="s">
        <v>4</v>
      </c>
      <c r="N8" s="97">
        <v>1188000</v>
      </c>
      <c r="O8" s="98" t="s">
        <v>115</v>
      </c>
      <c r="P8" s="99"/>
    </row>
    <row r="9" spans="1:16" ht="15" customHeight="1" thickBot="1" x14ac:dyDescent="0.3">
      <c r="A9" s="75">
        <f t="shared" si="0"/>
        <v>3</v>
      </c>
      <c r="D9" s="75" t="s">
        <v>95</v>
      </c>
      <c r="E9" s="75" t="s">
        <v>11</v>
      </c>
      <c r="F9" s="75" t="s">
        <v>85</v>
      </c>
      <c r="G9" s="75" t="s">
        <v>11</v>
      </c>
      <c r="H9" s="95" t="s">
        <v>5</v>
      </c>
      <c r="I9" s="75" t="s">
        <v>6</v>
      </c>
      <c r="J9" s="95" t="s">
        <v>7</v>
      </c>
      <c r="K9" s="75"/>
      <c r="L9" s="95" t="s">
        <v>8</v>
      </c>
      <c r="M9" s="96" t="s">
        <v>9</v>
      </c>
      <c r="N9" s="159">
        <v>4.3568704330584226E-2</v>
      </c>
      <c r="O9" s="100" t="s">
        <v>10</v>
      </c>
      <c r="P9" s="101"/>
    </row>
    <row r="10" spans="1:16" s="110" customFormat="1" ht="15" customHeight="1" thickBot="1" x14ac:dyDescent="0.3">
      <c r="A10" s="75">
        <f t="shared" si="0"/>
        <v>4</v>
      </c>
      <c r="B10" s="84"/>
      <c r="C10" s="84"/>
      <c r="D10" s="102" t="s">
        <v>84</v>
      </c>
      <c r="E10" s="103">
        <v>44866</v>
      </c>
      <c r="F10" s="103">
        <f>E10</f>
        <v>44866</v>
      </c>
      <c r="G10" s="103">
        <f>F10</f>
        <v>44866</v>
      </c>
      <c r="H10" s="104" t="s">
        <v>11</v>
      </c>
      <c r="I10" s="105" t="s">
        <v>12</v>
      </c>
      <c r="J10" s="104" t="s">
        <v>13</v>
      </c>
      <c r="K10" s="105" t="s">
        <v>14</v>
      </c>
      <c r="L10" s="104" t="s">
        <v>12</v>
      </c>
      <c r="M10" s="106" t="s">
        <v>15</v>
      </c>
      <c r="N10" s="107">
        <f>IF(N9&lt;&gt;"N/A",ROUND(+N8/(1-N9),0),N8)</f>
        <v>1242117</v>
      </c>
      <c r="O10" s="108" t="s">
        <v>116</v>
      </c>
      <c r="P10" s="109"/>
    </row>
    <row r="11" spans="1:16" s="110" customFormat="1" x14ac:dyDescent="0.25">
      <c r="A11" s="75">
        <f t="shared" si="0"/>
        <v>5</v>
      </c>
      <c r="B11" s="84"/>
      <c r="C11" s="84"/>
      <c r="H11" s="95" t="s">
        <v>16</v>
      </c>
      <c r="J11" s="95"/>
      <c r="L11" s="147" t="s">
        <v>17</v>
      </c>
      <c r="M11" s="111"/>
      <c r="N11" s="112" t="s">
        <v>18</v>
      </c>
      <c r="O11" s="75" t="s">
        <v>19</v>
      </c>
      <c r="P11" s="113" t="s">
        <v>20</v>
      </c>
    </row>
    <row r="12" spans="1:16" s="110" customFormat="1" x14ac:dyDescent="0.25">
      <c r="A12" s="75">
        <f t="shared" si="0"/>
        <v>6</v>
      </c>
      <c r="B12" s="114" t="s">
        <v>21</v>
      </c>
      <c r="C12" s="114" t="s">
        <v>22</v>
      </c>
      <c r="D12" s="115" t="s">
        <v>23</v>
      </c>
      <c r="E12" s="115" t="s">
        <v>24</v>
      </c>
      <c r="F12" s="115" t="s">
        <v>25</v>
      </c>
      <c r="G12" s="115" t="s">
        <v>26</v>
      </c>
      <c r="H12" s="115" t="s">
        <v>27</v>
      </c>
      <c r="I12" s="115" t="s">
        <v>28</v>
      </c>
      <c r="J12" s="115" t="s">
        <v>29</v>
      </c>
      <c r="K12" s="115" t="s">
        <v>30</v>
      </c>
      <c r="L12" s="148"/>
      <c r="M12" s="116"/>
      <c r="N12" s="117" t="s">
        <v>31</v>
      </c>
      <c r="O12" s="115" t="s">
        <v>32</v>
      </c>
      <c r="P12" s="118" t="s">
        <v>33</v>
      </c>
    </row>
    <row r="13" spans="1:16" x14ac:dyDescent="0.25">
      <c r="A13" s="75">
        <f t="shared" si="0"/>
        <v>7</v>
      </c>
      <c r="B13" s="119" t="s">
        <v>34</v>
      </c>
      <c r="C13" s="119" t="s">
        <v>96</v>
      </c>
      <c r="D13" s="1">
        <v>318916</v>
      </c>
      <c r="E13" s="120">
        <v>1.5919000000000005</v>
      </c>
      <c r="F13" s="120">
        <v>0.55668000000000006</v>
      </c>
      <c r="G13" s="120">
        <v>0.19499999999999998</v>
      </c>
      <c r="H13" s="120">
        <f>+E13-F13-G13</f>
        <v>0.84022000000000052</v>
      </c>
      <c r="I13" s="121">
        <f>ROUND(H13*D13,0)</f>
        <v>267960</v>
      </c>
      <c r="J13" s="160">
        <v>5.5</v>
      </c>
      <c r="K13" s="1">
        <v>1679</v>
      </c>
      <c r="L13" s="154">
        <f>ROUND(I13+(J13*K13*12),0)</f>
        <v>378774</v>
      </c>
      <c r="M13" s="88"/>
      <c r="N13" s="161">
        <v>1</v>
      </c>
      <c r="O13" s="89">
        <f>ROUND(+$N$10*(($L13*N13)/L$85),0)</f>
        <v>7715</v>
      </c>
      <c r="P13" s="90">
        <f>IF(O13&lt;&gt;0,ROUND((O13/$I13)*$H13,5),ROUND((N$10/$I$85)*$H13*N13,5))</f>
        <v>2.419E-2</v>
      </c>
    </row>
    <row r="14" spans="1:16" x14ac:dyDescent="0.25">
      <c r="A14" s="75">
        <f t="shared" si="0"/>
        <v>8</v>
      </c>
      <c r="B14" s="119" t="s">
        <v>35</v>
      </c>
      <c r="C14" s="119" t="s">
        <v>96</v>
      </c>
      <c r="D14" s="1">
        <v>22569.3</v>
      </c>
      <c r="E14" s="120">
        <v>1.6060099999999995</v>
      </c>
      <c r="F14" s="120">
        <v>0.55668000000000006</v>
      </c>
      <c r="G14" s="120">
        <v>0.18173</v>
      </c>
      <c r="H14" s="120">
        <f t="shared" ref="H14:H77" si="1">+E14-F14-G14</f>
        <v>0.86759999999999948</v>
      </c>
      <c r="I14" s="121">
        <f>ROUND(H14*D14,0)</f>
        <v>19581</v>
      </c>
      <c r="J14" s="160">
        <v>7</v>
      </c>
      <c r="K14" s="1">
        <v>37</v>
      </c>
      <c r="L14" s="154">
        <f t="shared" ref="L14:L18" si="2">ROUND(I14+(J14*K14*12),0)</f>
        <v>22689</v>
      </c>
      <c r="M14" s="88"/>
      <c r="N14" s="161">
        <v>1</v>
      </c>
      <c r="O14" s="89">
        <f t="shared" ref="O14:O19" si="3">ROUND(+$N$10*(($L14*N14)/L$85),0)</f>
        <v>462</v>
      </c>
      <c r="P14" s="90">
        <f t="shared" ref="P14:P19" si="4">IF(O14&lt;&gt;0,ROUND((O14/$I14)*$H14,5),ROUND((N$10/$I$85)*$H14*N14,5))</f>
        <v>2.0469999999999999E-2</v>
      </c>
    </row>
    <row r="15" spans="1:16" x14ac:dyDescent="0.25">
      <c r="A15" s="75">
        <f t="shared" si="0"/>
        <v>9</v>
      </c>
      <c r="B15" s="119" t="s">
        <v>36</v>
      </c>
      <c r="C15" s="119" t="s">
        <v>96</v>
      </c>
      <c r="D15" s="1">
        <v>60471175.100000001</v>
      </c>
      <c r="E15" s="120">
        <v>1.2801600000000002</v>
      </c>
      <c r="F15" s="120">
        <v>0.55668000000000006</v>
      </c>
      <c r="G15" s="120">
        <v>0.16172</v>
      </c>
      <c r="H15" s="120">
        <f t="shared" si="1"/>
        <v>0.56176000000000015</v>
      </c>
      <c r="I15" s="121">
        <f>ROUND(H15*D15,0)</f>
        <v>33970287</v>
      </c>
      <c r="J15" s="160">
        <v>8</v>
      </c>
      <c r="K15" s="1">
        <v>87552</v>
      </c>
      <c r="L15" s="154">
        <f t="shared" si="2"/>
        <v>42375279</v>
      </c>
      <c r="M15" s="88"/>
      <c r="N15" s="161">
        <v>1</v>
      </c>
      <c r="O15" s="89">
        <f t="shared" si="3"/>
        <v>863106</v>
      </c>
      <c r="P15" s="90">
        <f t="shared" si="4"/>
        <v>1.427E-2</v>
      </c>
    </row>
    <row r="16" spans="1:16" x14ac:dyDescent="0.25">
      <c r="A16" s="75">
        <f t="shared" si="0"/>
        <v>10</v>
      </c>
      <c r="B16" s="119" t="s">
        <v>37</v>
      </c>
      <c r="C16" s="119" t="s">
        <v>96</v>
      </c>
      <c r="D16" s="1">
        <v>19986400</v>
      </c>
      <c r="E16" s="120">
        <v>1.2503800000000003</v>
      </c>
      <c r="F16" s="120">
        <v>0.55668000000000006</v>
      </c>
      <c r="G16" s="120">
        <v>0.157</v>
      </c>
      <c r="H16" s="120">
        <f t="shared" si="1"/>
        <v>0.53670000000000018</v>
      </c>
      <c r="I16" s="121">
        <f t="shared" ref="I16:I18" si="5">ROUND(H16*D16,0)</f>
        <v>10726701</v>
      </c>
      <c r="J16" s="160">
        <v>22</v>
      </c>
      <c r="K16" s="1">
        <v>6684</v>
      </c>
      <c r="L16" s="154">
        <f t="shared" si="2"/>
        <v>12491277</v>
      </c>
      <c r="M16" s="88"/>
      <c r="N16" s="161">
        <v>1</v>
      </c>
      <c r="O16" s="89">
        <f t="shared" si="3"/>
        <v>254424</v>
      </c>
      <c r="P16" s="90">
        <f t="shared" si="4"/>
        <v>1.273E-2</v>
      </c>
    </row>
    <row r="17" spans="1:17" x14ac:dyDescent="0.25">
      <c r="A17" s="75">
        <f t="shared" si="0"/>
        <v>11</v>
      </c>
      <c r="B17" s="119" t="s">
        <v>38</v>
      </c>
      <c r="C17" s="119" t="s">
        <v>96</v>
      </c>
      <c r="D17" s="1">
        <v>277642.16352</v>
      </c>
      <c r="E17" s="120">
        <v>1.2289899999999998</v>
      </c>
      <c r="F17" s="120">
        <v>0.55668000000000006</v>
      </c>
      <c r="G17" s="120">
        <v>0.12556999999999999</v>
      </c>
      <c r="H17" s="120">
        <f t="shared" si="1"/>
        <v>0.54673999999999978</v>
      </c>
      <c r="I17" s="121">
        <f t="shared" si="5"/>
        <v>151798</v>
      </c>
      <c r="J17" s="160">
        <v>22</v>
      </c>
      <c r="K17" s="1">
        <v>19</v>
      </c>
      <c r="L17" s="154">
        <f t="shared" si="2"/>
        <v>156814</v>
      </c>
      <c r="M17" s="88"/>
      <c r="N17" s="161">
        <v>1</v>
      </c>
      <c r="O17" s="89">
        <f t="shared" si="3"/>
        <v>3194</v>
      </c>
      <c r="P17" s="90">
        <f t="shared" si="4"/>
        <v>1.15E-2</v>
      </c>
    </row>
    <row r="18" spans="1:17" x14ac:dyDescent="0.25">
      <c r="A18" s="75">
        <f t="shared" si="0"/>
        <v>12</v>
      </c>
      <c r="B18" s="119" t="s">
        <v>97</v>
      </c>
      <c r="C18" s="119" t="s">
        <v>96</v>
      </c>
      <c r="D18" s="1">
        <v>80869.600000000006</v>
      </c>
      <c r="E18" s="120">
        <v>1.0206200000000001</v>
      </c>
      <c r="F18" s="120">
        <v>0.55668000000000006</v>
      </c>
      <c r="G18" s="120">
        <v>0.14932999999999999</v>
      </c>
      <c r="H18" s="120">
        <f t="shared" si="1"/>
        <v>0.31461000000000006</v>
      </c>
      <c r="I18" s="121">
        <f t="shared" si="5"/>
        <v>25442</v>
      </c>
      <c r="J18" s="160">
        <v>9</v>
      </c>
      <c r="K18" s="1">
        <v>295</v>
      </c>
      <c r="L18" s="154">
        <f t="shared" si="2"/>
        <v>57302</v>
      </c>
      <c r="M18" s="88"/>
      <c r="N18" s="161">
        <v>1</v>
      </c>
      <c r="O18" s="89">
        <f t="shared" si="3"/>
        <v>1167</v>
      </c>
      <c r="P18" s="90">
        <f t="shared" si="4"/>
        <v>1.443E-2</v>
      </c>
    </row>
    <row r="19" spans="1:17" x14ac:dyDescent="0.25">
      <c r="A19" s="75">
        <f t="shared" si="0"/>
        <v>13</v>
      </c>
      <c r="B19" s="76" t="s">
        <v>39</v>
      </c>
      <c r="C19" s="77" t="s">
        <v>40</v>
      </c>
      <c r="D19" s="131">
        <v>1570103</v>
      </c>
      <c r="E19" s="78">
        <v>1.0366700000000002</v>
      </c>
      <c r="F19" s="78">
        <v>0.46972000000000003</v>
      </c>
      <c r="G19" s="78">
        <v>0.14834</v>
      </c>
      <c r="H19" s="78">
        <f t="shared" si="1"/>
        <v>0.41861000000000015</v>
      </c>
      <c r="I19" s="79">
        <f>ROUND((H19*D19)+(D20*H20),0)</f>
        <v>1441762</v>
      </c>
      <c r="J19" s="162">
        <v>250</v>
      </c>
      <c r="K19" s="131">
        <v>83</v>
      </c>
      <c r="L19" s="155">
        <f>ROUND((J19*K19*12)+I19+I20,0)</f>
        <v>1690762</v>
      </c>
      <c r="M19" s="80"/>
      <c r="N19" s="163">
        <v>1</v>
      </c>
      <c r="O19" s="81">
        <f t="shared" si="3"/>
        <v>34438</v>
      </c>
      <c r="P19" s="82">
        <f t="shared" si="4"/>
        <v>0.01</v>
      </c>
      <c r="Q19" s="83"/>
    </row>
    <row r="20" spans="1:17" x14ac:dyDescent="0.25">
      <c r="A20" s="75">
        <f t="shared" si="0"/>
        <v>14</v>
      </c>
      <c r="B20" s="122"/>
      <c r="C20" s="85" t="s">
        <v>41</v>
      </c>
      <c r="D20" s="132">
        <v>2126826.5</v>
      </c>
      <c r="E20" s="86">
        <v>0.98319999999999985</v>
      </c>
      <c r="F20" s="86">
        <v>0.46972000000000003</v>
      </c>
      <c r="G20" s="86">
        <v>0.14461999999999997</v>
      </c>
      <c r="H20" s="86">
        <f t="shared" si="1"/>
        <v>0.36885999999999985</v>
      </c>
      <c r="I20" s="87"/>
      <c r="J20" s="164"/>
      <c r="K20" s="132"/>
      <c r="L20" s="154"/>
      <c r="M20" s="88"/>
      <c r="N20" s="161">
        <v>1</v>
      </c>
      <c r="O20" s="89"/>
      <c r="P20" s="90">
        <f>IF(O19&lt;&gt;0,ROUND((O19/$I19)*$H20,5),ROUND((N$10/$I$85)*$H20*N20,5))</f>
        <v>8.8100000000000001E-3</v>
      </c>
      <c r="Q20" s="83"/>
    </row>
    <row r="21" spans="1:17" x14ac:dyDescent="0.25">
      <c r="A21" s="75">
        <f t="shared" si="0"/>
        <v>15</v>
      </c>
      <c r="B21" s="76" t="s">
        <v>43</v>
      </c>
      <c r="C21" s="77" t="s">
        <v>40</v>
      </c>
      <c r="D21" s="131">
        <v>405389.26339126914</v>
      </c>
      <c r="E21" s="78">
        <v>0.96687000000000034</v>
      </c>
      <c r="F21" s="78">
        <v>0.46972000000000003</v>
      </c>
      <c r="G21" s="78">
        <v>0.12512999999999999</v>
      </c>
      <c r="H21" s="78">
        <f>+E21-F21-G21</f>
        <v>0.37202000000000035</v>
      </c>
      <c r="I21" s="79">
        <f>ROUND((H21*D21)+(D22*H22),0)</f>
        <v>414086</v>
      </c>
      <c r="J21" s="162">
        <v>250</v>
      </c>
      <c r="K21" s="131">
        <v>22</v>
      </c>
      <c r="L21" s="155">
        <f>ROUND((J21*K21*12)+I21+I22,0)</f>
        <v>480086</v>
      </c>
      <c r="M21" s="80"/>
      <c r="N21" s="163">
        <v>1</v>
      </c>
      <c r="O21" s="81">
        <f>ROUND(+$N$10*(($L21*N21)/L$85),0)</f>
        <v>9778</v>
      </c>
      <c r="P21" s="82">
        <f>IF(O21&lt;&gt;0,ROUND((O21/$I21)*$H21,5),ROUND((N$10/$I$85)*$H21*N21,5))</f>
        <v>8.7799999999999996E-3</v>
      </c>
      <c r="Q21" s="83"/>
    </row>
    <row r="22" spans="1:17" x14ac:dyDescent="0.25">
      <c r="A22" s="75">
        <f t="shared" si="0"/>
        <v>16</v>
      </c>
      <c r="B22" s="122"/>
      <c r="C22" s="85" t="s">
        <v>41</v>
      </c>
      <c r="D22" s="132">
        <v>803152.63660873112</v>
      </c>
      <c r="E22" s="86">
        <v>0.92169999999999985</v>
      </c>
      <c r="F22" s="86">
        <v>0.46972000000000003</v>
      </c>
      <c r="G22" s="86">
        <v>0.12418</v>
      </c>
      <c r="H22" s="86">
        <f>+E22-F22-G22</f>
        <v>0.32779999999999981</v>
      </c>
      <c r="I22" s="87"/>
      <c r="J22" s="164"/>
      <c r="K22" s="132"/>
      <c r="L22" s="154"/>
      <c r="M22" s="88"/>
      <c r="N22" s="161">
        <v>1</v>
      </c>
      <c r="O22" s="89"/>
      <c r="P22" s="90">
        <f>IF(O21&lt;&gt;0,ROUND((O21/$I21)*$H22,5),ROUND((N$10/$I$85)*$H22*N22,5))</f>
        <v>7.7400000000000004E-3</v>
      </c>
      <c r="Q22" s="83"/>
    </row>
    <row r="23" spans="1:17" x14ac:dyDescent="0.25">
      <c r="A23" s="75">
        <f t="shared" si="0"/>
        <v>17</v>
      </c>
      <c r="B23" s="76" t="s">
        <v>42</v>
      </c>
      <c r="C23" s="77" t="s">
        <v>40</v>
      </c>
      <c r="D23" s="131">
        <v>0</v>
      </c>
      <c r="E23" s="78">
        <v>1.0149000000000001</v>
      </c>
      <c r="F23" s="78">
        <v>0.46972000000000003</v>
      </c>
      <c r="G23" s="78">
        <v>0.14695999999999998</v>
      </c>
      <c r="H23" s="78">
        <f t="shared" si="1"/>
        <v>0.39822000000000013</v>
      </c>
      <c r="I23" s="79">
        <f>ROUND((H23*D23)+(D24*H24),0)</f>
        <v>0</v>
      </c>
      <c r="J23" s="162">
        <v>250</v>
      </c>
      <c r="K23" s="131">
        <v>0</v>
      </c>
      <c r="L23" s="155">
        <f>ROUND((J23*K23*12)+I23+I24,0)</f>
        <v>0</v>
      </c>
      <c r="M23" s="80"/>
      <c r="N23" s="163">
        <v>1</v>
      </c>
      <c r="O23" s="81">
        <f>ROUND(+$N$10*(($L23*N23)/L$85),0)</f>
        <v>0</v>
      </c>
      <c r="P23" s="82">
        <f>IF(O23&lt;&gt;0,ROUND((O23/$I23)*$H23,5),ROUND((N$10/$I$85)*$H23*N23,5))</f>
        <v>9.9699999999999997E-3</v>
      </c>
      <c r="Q23" s="83"/>
    </row>
    <row r="24" spans="1:17" x14ac:dyDescent="0.25">
      <c r="A24" s="75">
        <f t="shared" si="0"/>
        <v>18</v>
      </c>
      <c r="B24" s="122"/>
      <c r="C24" s="85" t="s">
        <v>41</v>
      </c>
      <c r="D24" s="132">
        <v>0</v>
      </c>
      <c r="E24" s="86">
        <v>0.96392999999999995</v>
      </c>
      <c r="F24" s="86">
        <v>0.46972000000000003</v>
      </c>
      <c r="G24" s="86">
        <v>0.14334999999999998</v>
      </c>
      <c r="H24" s="86">
        <f t="shared" si="1"/>
        <v>0.35085999999999995</v>
      </c>
      <c r="I24" s="87"/>
      <c r="J24" s="164"/>
      <c r="K24" s="132"/>
      <c r="L24" s="154"/>
      <c r="M24" s="88"/>
      <c r="N24" s="161">
        <v>1</v>
      </c>
      <c r="O24" s="89"/>
      <c r="P24" s="90">
        <f>IF(O23&lt;&gt;0,ROUND((O23/$I23)*$H24,5),ROUND((N$10/$I$85)*$H24*N24,5))</f>
        <v>8.7899999999999992E-3</v>
      </c>
      <c r="Q24" s="83"/>
    </row>
    <row r="25" spans="1:17" x14ac:dyDescent="0.25">
      <c r="A25" s="75">
        <f t="shared" si="0"/>
        <v>19</v>
      </c>
      <c r="B25" s="76" t="s">
        <v>44</v>
      </c>
      <c r="C25" s="77" t="s">
        <v>40</v>
      </c>
      <c r="D25" s="131">
        <v>0</v>
      </c>
      <c r="E25" s="78">
        <v>0.95740000000000003</v>
      </c>
      <c r="F25" s="78">
        <v>0.46972000000000003</v>
      </c>
      <c r="G25" s="78">
        <v>0.12428</v>
      </c>
      <c r="H25" s="78">
        <f>+E25-F25-G25</f>
        <v>0.3634</v>
      </c>
      <c r="I25" s="79">
        <f>ROUND((H25*D25)+(D26*H26),0)</f>
        <v>0</v>
      </c>
      <c r="J25" s="162">
        <v>250</v>
      </c>
      <c r="K25" s="131">
        <v>0</v>
      </c>
      <c r="L25" s="155">
        <f>ROUND((J25*K25*12)+I25+I26,0)</f>
        <v>0</v>
      </c>
      <c r="M25" s="80"/>
      <c r="N25" s="163">
        <v>1</v>
      </c>
      <c r="O25" s="81">
        <f>ROUND(+$N$10*(($L25*N25)/L$85),0)</f>
        <v>0</v>
      </c>
      <c r="P25" s="82">
        <f>IF(O25&lt;&gt;0,ROUND((O25/$I25)*$H25,5),ROUND((N$10/$I$85)*$H25*N25,5))</f>
        <v>9.1000000000000004E-3</v>
      </c>
      <c r="Q25" s="83"/>
    </row>
    <row r="26" spans="1:17" x14ac:dyDescent="0.25">
      <c r="A26" s="75">
        <f t="shared" si="0"/>
        <v>20</v>
      </c>
      <c r="B26" s="122"/>
      <c r="C26" s="85" t="s">
        <v>41</v>
      </c>
      <c r="D26" s="132">
        <v>0</v>
      </c>
      <c r="E26" s="86">
        <v>0.91322999999999999</v>
      </c>
      <c r="F26" s="86">
        <v>0.46972000000000003</v>
      </c>
      <c r="G26" s="86">
        <v>0.12334000000000001</v>
      </c>
      <c r="H26" s="86">
        <f>+E26-F26-G26</f>
        <v>0.32016999999999995</v>
      </c>
      <c r="I26" s="87"/>
      <c r="J26" s="164"/>
      <c r="K26" s="132"/>
      <c r="L26" s="154"/>
      <c r="M26" s="88"/>
      <c r="N26" s="161">
        <v>1</v>
      </c>
      <c r="O26" s="89"/>
      <c r="P26" s="90">
        <f>IF(O25&lt;&gt;0,ROUND((O25/$I25)*$H26,5),ROUND((N$10/$I$85)*$H26*N26,5))</f>
        <v>8.0199999999999994E-3</v>
      </c>
      <c r="Q26" s="83"/>
    </row>
    <row r="27" spans="1:17" x14ac:dyDescent="0.25">
      <c r="A27" s="75">
        <f t="shared" si="0"/>
        <v>21</v>
      </c>
      <c r="B27" s="76" t="s">
        <v>98</v>
      </c>
      <c r="C27" s="77" t="s">
        <v>40</v>
      </c>
      <c r="D27" s="131">
        <v>148852.71949366332</v>
      </c>
      <c r="E27" s="78">
        <v>0.38082999999999995</v>
      </c>
      <c r="F27" s="78">
        <v>0</v>
      </c>
      <c r="G27" s="78">
        <v>1.9400000000000008E-3</v>
      </c>
      <c r="H27" s="78">
        <f t="shared" si="1"/>
        <v>0.37888999999999995</v>
      </c>
      <c r="I27" s="79">
        <f>ROUND((H27*D27)+(D28*H28),0)</f>
        <v>156160</v>
      </c>
      <c r="J27" s="162">
        <v>500</v>
      </c>
      <c r="K27" s="131">
        <v>8</v>
      </c>
      <c r="L27" s="155">
        <f>ROUND((J27*K27*12)+I27+I28,0)</f>
        <v>204160</v>
      </c>
      <c r="M27" s="80"/>
      <c r="N27" s="163">
        <v>1</v>
      </c>
      <c r="O27" s="81">
        <f>ROUND(+$N$10*(($L27*N27)/L$85),0)</f>
        <v>4158</v>
      </c>
      <c r="P27" s="82">
        <f>IF(O27&lt;&gt;0,ROUND((O27/$I27)*$H27,5),ROUND((N$10/$I$85)*$H27*N27,5))</f>
        <v>1.009E-2</v>
      </c>
      <c r="Q27" s="83"/>
    </row>
    <row r="28" spans="1:17" x14ac:dyDescent="0.25">
      <c r="A28" s="75">
        <f t="shared" si="0"/>
        <v>22</v>
      </c>
      <c r="B28" s="122"/>
      <c r="C28" s="85" t="s">
        <v>41</v>
      </c>
      <c r="D28" s="132">
        <v>298848.4950063366</v>
      </c>
      <c r="E28" s="86">
        <v>0.33552000000000004</v>
      </c>
      <c r="F28" s="86">
        <v>0</v>
      </c>
      <c r="G28" s="86">
        <v>1.6999999999999997E-3</v>
      </c>
      <c r="H28" s="86">
        <f t="shared" si="1"/>
        <v>0.33382000000000006</v>
      </c>
      <c r="I28" s="87"/>
      <c r="J28" s="164"/>
      <c r="K28" s="132"/>
      <c r="L28" s="154"/>
      <c r="M28" s="88"/>
      <c r="N28" s="161">
        <v>1</v>
      </c>
      <c r="O28" s="89"/>
      <c r="P28" s="90">
        <f>IF(O27&lt;&gt;0,ROUND((O27/$I27)*$H28,5),ROUND((N$10/$I$85)*$H28*N28,5))</f>
        <v>8.8900000000000003E-3</v>
      </c>
      <c r="Q28" s="83"/>
    </row>
    <row r="29" spans="1:17" x14ac:dyDescent="0.25">
      <c r="A29" s="75">
        <f t="shared" si="0"/>
        <v>23</v>
      </c>
      <c r="B29" s="76" t="s">
        <v>99</v>
      </c>
      <c r="C29" s="77" t="s">
        <v>40</v>
      </c>
      <c r="D29" s="131">
        <v>0</v>
      </c>
      <c r="E29" s="78">
        <v>0.37098000000000003</v>
      </c>
      <c r="F29" s="78">
        <v>0</v>
      </c>
      <c r="G29" s="78">
        <v>3.1700000000000005E-3</v>
      </c>
      <c r="H29" s="78">
        <f t="shared" si="1"/>
        <v>0.36781000000000003</v>
      </c>
      <c r="I29" s="79">
        <f>ROUND((H29*D29)+(D30*H30),0)</f>
        <v>0</v>
      </c>
      <c r="J29" s="162">
        <v>500</v>
      </c>
      <c r="K29" s="131">
        <v>0</v>
      </c>
      <c r="L29" s="155">
        <f>ROUND((J29*K29*12)+I29+I30,0)</f>
        <v>0</v>
      </c>
      <c r="M29" s="123"/>
      <c r="N29" s="163">
        <v>1</v>
      </c>
      <c r="O29" s="81">
        <f>ROUND(+$N$10*(($L29*N29)/L$85),0)</f>
        <v>0</v>
      </c>
      <c r="P29" s="82">
        <f>IF(O29&lt;&gt;0,ROUND((O29/$I29)*$H29,5),ROUND((N$10/$I$85)*$H29*N29,5))</f>
        <v>9.2099999999999994E-3</v>
      </c>
      <c r="Q29" s="83"/>
    </row>
    <row r="30" spans="1:17" x14ac:dyDescent="0.25">
      <c r="A30" s="75">
        <f t="shared" si="0"/>
        <v>24</v>
      </c>
      <c r="B30" s="122"/>
      <c r="C30" s="85" t="s">
        <v>41</v>
      </c>
      <c r="D30" s="132">
        <v>0</v>
      </c>
      <c r="E30" s="86">
        <v>0.3268700000000001</v>
      </c>
      <c r="F30" s="86">
        <v>0</v>
      </c>
      <c r="G30" s="86">
        <v>2.81E-3</v>
      </c>
      <c r="H30" s="86">
        <f t="shared" si="1"/>
        <v>0.32406000000000013</v>
      </c>
      <c r="I30" s="124"/>
      <c r="J30" s="165"/>
      <c r="K30" s="166"/>
      <c r="L30" s="154"/>
      <c r="M30" s="88"/>
      <c r="N30" s="161">
        <v>1</v>
      </c>
      <c r="O30" s="89"/>
      <c r="P30" s="90">
        <f>IF(O29&lt;&gt;0,ROUND((O29/$I29)*$H30,5),ROUND((N$10/$I$85)*$H30*N30,5))</f>
        <v>8.1200000000000005E-3</v>
      </c>
      <c r="Q30" s="83"/>
    </row>
    <row r="31" spans="1:17" x14ac:dyDescent="0.25">
      <c r="A31" s="75">
        <f t="shared" si="0"/>
        <v>25</v>
      </c>
      <c r="B31" s="76" t="s">
        <v>45</v>
      </c>
      <c r="C31" s="77" t="s">
        <v>40</v>
      </c>
      <c r="D31" s="131">
        <v>701174.7</v>
      </c>
      <c r="E31" s="78">
        <v>0.80749999999999977</v>
      </c>
      <c r="F31" s="78">
        <v>0.46972000000000003</v>
      </c>
      <c r="G31" s="78">
        <v>0.12968999999999997</v>
      </c>
      <c r="H31" s="78">
        <f t="shared" si="1"/>
        <v>0.20808999999999978</v>
      </c>
      <c r="I31" s="125">
        <f>ROUND((H31*D31)+(D32*H32)+(D33*H33)+(D34*H34)+(D35*H35)+(D36*H36),0)</f>
        <v>311591</v>
      </c>
      <c r="J31" s="167">
        <v>1300</v>
      </c>
      <c r="K31" s="168">
        <v>8</v>
      </c>
      <c r="L31" s="155">
        <f>ROUND((J31*K31*12)+I31+I32+I33+I34+I35+I36,0)</f>
        <v>436391</v>
      </c>
      <c r="M31" s="80"/>
      <c r="N31" s="163">
        <v>1</v>
      </c>
      <c r="O31" s="126">
        <f>ROUND(+$N$10*(($L31*N31)/L$85),0)</f>
        <v>8888</v>
      </c>
      <c r="P31" s="127">
        <f>IF(O31&lt;&gt;0,ROUND((O31/$I31)*$H31,5),ROUND((N$10/$I$85)*$H31*N31,5))</f>
        <v>5.94E-3</v>
      </c>
      <c r="Q31" s="83"/>
    </row>
    <row r="32" spans="1:17" x14ac:dyDescent="0.25">
      <c r="A32" s="75">
        <f t="shared" si="0"/>
        <v>26</v>
      </c>
      <c r="B32" s="76"/>
      <c r="C32" s="77" t="s">
        <v>41</v>
      </c>
      <c r="D32" s="131">
        <v>698883.6</v>
      </c>
      <c r="E32" s="78">
        <v>0.78433999999999959</v>
      </c>
      <c r="F32" s="78">
        <v>0.46972000000000003</v>
      </c>
      <c r="G32" s="78">
        <v>0.12835999999999997</v>
      </c>
      <c r="H32" s="78">
        <f t="shared" si="1"/>
        <v>0.18625999999999959</v>
      </c>
      <c r="I32" s="79"/>
      <c r="J32" s="162"/>
      <c r="K32" s="131"/>
      <c r="L32" s="139"/>
      <c r="M32" s="80"/>
      <c r="N32" s="163">
        <v>1</v>
      </c>
      <c r="O32" s="128"/>
      <c r="P32" s="129">
        <f>IF(O31&lt;&gt;0,ROUND((O31/$I31)*$H32,5),ROUND((N$10/$I$85)*$H32*N32,5))</f>
        <v>5.3099999999999996E-3</v>
      </c>
      <c r="Q32" s="83"/>
    </row>
    <row r="33" spans="1:17" x14ac:dyDescent="0.25">
      <c r="A33" s="75">
        <f t="shared" si="0"/>
        <v>27</v>
      </c>
      <c r="B33" s="76"/>
      <c r="C33" s="77" t="s">
        <v>46</v>
      </c>
      <c r="D33" s="131">
        <v>213653.7</v>
      </c>
      <c r="E33" s="78">
        <v>0.73830999999999991</v>
      </c>
      <c r="F33" s="78">
        <v>0.46972000000000003</v>
      </c>
      <c r="G33" s="78">
        <v>0.12572999999999998</v>
      </c>
      <c r="H33" s="78">
        <f t="shared" si="1"/>
        <v>0.1428599999999999</v>
      </c>
      <c r="I33" s="79"/>
      <c r="J33" s="162"/>
      <c r="K33" s="131"/>
      <c r="L33" s="156"/>
      <c r="M33" s="129"/>
      <c r="N33" s="163">
        <v>1</v>
      </c>
      <c r="O33" s="128"/>
      <c r="P33" s="129">
        <f>IF(O31&lt;&gt;0,ROUND((O31/$I31)*$H33,5),ROUND((N$10/$I$85)*$H33*N33,5))</f>
        <v>4.0800000000000003E-3</v>
      </c>
      <c r="Q33" s="83"/>
    </row>
    <row r="34" spans="1:17" x14ac:dyDescent="0.25">
      <c r="A34" s="75">
        <f t="shared" si="0"/>
        <v>28</v>
      </c>
      <c r="B34" s="76"/>
      <c r="C34" s="77" t="s">
        <v>47</v>
      </c>
      <c r="D34" s="131">
        <v>43633.5</v>
      </c>
      <c r="E34" s="78">
        <v>0.70801000000000025</v>
      </c>
      <c r="F34" s="78">
        <v>0.46972000000000003</v>
      </c>
      <c r="G34" s="78">
        <v>0.12401</v>
      </c>
      <c r="H34" s="78">
        <f t="shared" si="1"/>
        <v>0.11428000000000023</v>
      </c>
      <c r="I34" s="124"/>
      <c r="J34" s="165"/>
      <c r="K34" s="166"/>
      <c r="L34" s="139"/>
      <c r="M34" s="80"/>
      <c r="N34" s="163">
        <v>1</v>
      </c>
      <c r="O34" s="128"/>
      <c r="P34" s="129">
        <f>IF(O31&lt;&gt;0,ROUND((O31/$I31)*$H34,5),ROUND((N$10/$I$85)*$H34*N34,5))</f>
        <v>3.2599999999999999E-3</v>
      </c>
      <c r="Q34" s="83"/>
    </row>
    <row r="35" spans="1:17" x14ac:dyDescent="0.25">
      <c r="A35" s="75">
        <f t="shared" si="0"/>
        <v>29</v>
      </c>
      <c r="B35" s="76"/>
      <c r="C35" s="77" t="s">
        <v>48</v>
      </c>
      <c r="D35" s="131">
        <v>0</v>
      </c>
      <c r="E35" s="78">
        <v>0.66761000000000004</v>
      </c>
      <c r="F35" s="78">
        <v>0.46972000000000003</v>
      </c>
      <c r="G35" s="78">
        <v>0.12170999999999998</v>
      </c>
      <c r="H35" s="78">
        <f t="shared" si="1"/>
        <v>7.6180000000000025E-2</v>
      </c>
      <c r="L35" s="139"/>
      <c r="M35" s="80"/>
      <c r="N35" s="163">
        <v>1</v>
      </c>
      <c r="O35" s="128"/>
      <c r="P35" s="129">
        <f>IF(O31&lt;&gt;0,ROUND((O31/$I31)*$H35,5),ROUND((N$10/$I$85)*$H35*N35,5))</f>
        <v>2.1700000000000001E-3</v>
      </c>
      <c r="Q35" s="83"/>
    </row>
    <row r="36" spans="1:17" x14ac:dyDescent="0.25">
      <c r="A36" s="75">
        <f t="shared" si="0"/>
        <v>30</v>
      </c>
      <c r="B36" s="122"/>
      <c r="C36" s="85" t="s">
        <v>49</v>
      </c>
      <c r="D36" s="132">
        <v>0</v>
      </c>
      <c r="E36" s="86">
        <v>0.61709000000000014</v>
      </c>
      <c r="F36" s="86">
        <v>0.46972000000000003</v>
      </c>
      <c r="G36" s="86">
        <v>0.11880999999999999</v>
      </c>
      <c r="H36" s="86">
        <f t="shared" si="1"/>
        <v>2.8560000000000127E-2</v>
      </c>
      <c r="I36" s="169"/>
      <c r="J36" s="169"/>
      <c r="K36" s="169"/>
      <c r="L36" s="154"/>
      <c r="M36" s="88"/>
      <c r="N36" s="161">
        <v>1</v>
      </c>
      <c r="O36" s="89"/>
      <c r="P36" s="90">
        <f>IF(O31&lt;&gt;0,ROUND((O31/$I31)*$H36,5),ROUND((N$10/$I$85)*$H36*N36,5))</f>
        <v>8.0999999999999996E-4</v>
      </c>
      <c r="Q36" s="83"/>
    </row>
    <row r="37" spans="1:17" x14ac:dyDescent="0.25">
      <c r="A37" s="75">
        <f t="shared" si="0"/>
        <v>31</v>
      </c>
      <c r="B37" s="76" t="s">
        <v>50</v>
      </c>
      <c r="C37" s="77" t="s">
        <v>40</v>
      </c>
      <c r="D37" s="131">
        <v>1266148.1421839348</v>
      </c>
      <c r="E37" s="78">
        <v>0.75461</v>
      </c>
      <c r="F37" s="78">
        <v>0.46972000000000003</v>
      </c>
      <c r="G37" s="78">
        <v>0.11806999999999998</v>
      </c>
      <c r="H37" s="78">
        <f t="shared" si="1"/>
        <v>0.16682</v>
      </c>
      <c r="I37" s="125">
        <f>ROUND((H37*D37)+(D38*H38)+(D39*H39)+(D40*H40)+(D41*H41)+(D42*H42),0)</f>
        <v>359183</v>
      </c>
      <c r="J37" s="162">
        <v>1300</v>
      </c>
      <c r="K37" s="131">
        <v>10</v>
      </c>
      <c r="L37" s="155">
        <f>ROUND((J37*K37*12)+I37+I38+I39+I40+I41+I42,0)</f>
        <v>515183</v>
      </c>
      <c r="M37" s="80"/>
      <c r="N37" s="163">
        <v>1</v>
      </c>
      <c r="O37" s="126">
        <f>ROUND(+$N$10*(($L37*N37)/L$85),0)</f>
        <v>10493</v>
      </c>
      <c r="P37" s="127">
        <f>IF(O37&lt;&gt;0,ROUND((O37/$I37)*$H37,5),ROUND((N$10/$I$85)*$H37*N37,5))</f>
        <v>4.8700000000000002E-3</v>
      </c>
      <c r="Q37" s="83"/>
    </row>
    <row r="38" spans="1:17" x14ac:dyDescent="0.25">
      <c r="A38" s="75">
        <f t="shared" si="0"/>
        <v>32</v>
      </c>
      <c r="B38" s="76"/>
      <c r="C38" s="77" t="s">
        <v>41</v>
      </c>
      <c r="D38" s="131">
        <v>871827.239127715</v>
      </c>
      <c r="E38" s="78">
        <v>0.7370000000000001</v>
      </c>
      <c r="F38" s="78">
        <v>0.46972000000000003</v>
      </c>
      <c r="G38" s="78">
        <v>0.11794999999999999</v>
      </c>
      <c r="H38" s="78">
        <f t="shared" si="1"/>
        <v>0.14933000000000007</v>
      </c>
      <c r="I38" s="79"/>
      <c r="J38" s="162"/>
      <c r="K38" s="131"/>
      <c r="L38" s="139"/>
      <c r="M38" s="80"/>
      <c r="N38" s="163">
        <v>1</v>
      </c>
      <c r="O38" s="128"/>
      <c r="P38" s="129">
        <f>IF(O37&lt;&gt;0,ROUND((O37/$I37)*$H38,5),ROUND((N$10/$I$85)*$H38*N38,5))</f>
        <v>4.3600000000000002E-3</v>
      </c>
      <c r="Q38" s="83"/>
    </row>
    <row r="39" spans="1:17" x14ac:dyDescent="0.25">
      <c r="A39" s="75">
        <f t="shared" si="0"/>
        <v>33</v>
      </c>
      <c r="B39" s="76"/>
      <c r="C39" s="77" t="s">
        <v>46</v>
      </c>
      <c r="D39" s="131">
        <v>146522.52953330288</v>
      </c>
      <c r="E39" s="78">
        <v>0.70197999999999983</v>
      </c>
      <c r="F39" s="78">
        <v>0.46972000000000003</v>
      </c>
      <c r="G39" s="78">
        <v>0.11774999999999998</v>
      </c>
      <c r="H39" s="78">
        <f t="shared" si="1"/>
        <v>0.11450999999999982</v>
      </c>
      <c r="I39" s="79"/>
      <c r="J39" s="162"/>
      <c r="K39" s="131"/>
      <c r="L39" s="139"/>
      <c r="M39" s="80"/>
      <c r="N39" s="163">
        <v>1</v>
      </c>
      <c r="O39" s="128"/>
      <c r="P39" s="129">
        <f>IF(O37&lt;&gt;0,ROUND((O37/$I37)*$H39,5),ROUND((N$10/$I$85)*$H39*N39,5))</f>
        <v>3.3500000000000001E-3</v>
      </c>
      <c r="Q39" s="83"/>
    </row>
    <row r="40" spans="1:17" x14ac:dyDescent="0.25">
      <c r="A40" s="75">
        <f t="shared" si="0"/>
        <v>34</v>
      </c>
      <c r="B40" s="76"/>
      <c r="C40" s="77" t="s">
        <v>47</v>
      </c>
      <c r="D40" s="131">
        <v>10866.561995046666</v>
      </c>
      <c r="E40" s="78">
        <v>0.67895000000000005</v>
      </c>
      <c r="F40" s="78">
        <v>0.46972000000000003</v>
      </c>
      <c r="G40" s="78">
        <v>0.11761999999999999</v>
      </c>
      <c r="H40" s="78">
        <f t="shared" si="1"/>
        <v>9.1610000000000039E-2</v>
      </c>
      <c r="I40" s="79"/>
      <c r="J40" s="162"/>
      <c r="K40" s="131"/>
      <c r="L40" s="139"/>
      <c r="M40" s="80"/>
      <c r="N40" s="163">
        <v>1</v>
      </c>
      <c r="O40" s="128"/>
      <c r="P40" s="129">
        <f>IF(O37&lt;&gt;0,ROUND((O37/$I37)*$H40,5),ROUND((N$10/$I$85)*$H40*N40,5))</f>
        <v>2.6800000000000001E-3</v>
      </c>
      <c r="Q40" s="83"/>
    </row>
    <row r="41" spans="1:17" x14ac:dyDescent="0.25">
      <c r="A41" s="75">
        <f t="shared" si="0"/>
        <v>35</v>
      </c>
      <c r="B41" s="76"/>
      <c r="C41" s="77" t="s">
        <v>48</v>
      </c>
      <c r="D41" s="131">
        <v>0</v>
      </c>
      <c r="E41" s="78">
        <v>0.64824000000000026</v>
      </c>
      <c r="F41" s="78">
        <v>0.46972000000000003</v>
      </c>
      <c r="G41" s="78">
        <v>0.11742999999999999</v>
      </c>
      <c r="H41" s="78">
        <f t="shared" si="1"/>
        <v>6.1090000000000241E-2</v>
      </c>
      <c r="L41" s="139"/>
      <c r="M41" s="80"/>
      <c r="N41" s="163">
        <v>1</v>
      </c>
      <c r="O41" s="128"/>
      <c r="P41" s="129">
        <f>IF(O37&lt;&gt;0,ROUND((O37/$I37)*$H41,5),ROUND((N$10/$I$85)*$H41*N41,5))</f>
        <v>1.7799999999999999E-3</v>
      </c>
      <c r="Q41" s="83"/>
    </row>
    <row r="42" spans="1:17" x14ac:dyDescent="0.25">
      <c r="A42" s="75">
        <f t="shared" si="0"/>
        <v>36</v>
      </c>
      <c r="B42" s="122"/>
      <c r="C42" s="85" t="s">
        <v>49</v>
      </c>
      <c r="D42" s="132">
        <v>0</v>
      </c>
      <c r="E42" s="86">
        <v>0.60981999999999992</v>
      </c>
      <c r="F42" s="86">
        <v>0.46972000000000003</v>
      </c>
      <c r="G42" s="86">
        <v>0.11720999999999999</v>
      </c>
      <c r="H42" s="86">
        <f t="shared" si="1"/>
        <v>2.2889999999999897E-2</v>
      </c>
      <c r="I42" s="87"/>
      <c r="J42" s="164"/>
      <c r="K42" s="132"/>
      <c r="L42" s="154"/>
      <c r="M42" s="88"/>
      <c r="N42" s="161">
        <v>1</v>
      </c>
      <c r="O42" s="89"/>
      <c r="P42" s="90">
        <f>IF(O37&lt;&gt;0,ROUND((O37/$I37)*$H42,5),ROUND((N$10/$I$85)*$H42*N42,5))</f>
        <v>6.7000000000000002E-4</v>
      </c>
      <c r="Q42" s="83"/>
    </row>
    <row r="43" spans="1:17" x14ac:dyDescent="0.25">
      <c r="A43" s="75">
        <f t="shared" si="0"/>
        <v>37</v>
      </c>
      <c r="B43" s="76" t="s">
        <v>100</v>
      </c>
      <c r="C43" s="77" t="s">
        <v>40</v>
      </c>
      <c r="D43" s="131">
        <v>217852.64307951118</v>
      </c>
      <c r="E43" s="78">
        <v>0.15375999999999998</v>
      </c>
      <c r="F43" s="78">
        <v>0</v>
      </c>
      <c r="G43" s="78">
        <v>-1.2999999999999999E-3</v>
      </c>
      <c r="H43" s="78">
        <f t="shared" si="1"/>
        <v>0.15505999999999998</v>
      </c>
      <c r="I43" s="125">
        <f>ROUND((H43*D43)+(D44*H44)+(D45*H45)+(D46*H46)+(D47*H47)+(D48*H48),0)</f>
        <v>197297</v>
      </c>
      <c r="J43" s="162">
        <v>1550</v>
      </c>
      <c r="K43" s="131">
        <v>2</v>
      </c>
      <c r="L43" s="155">
        <f>ROUND((J43*K43*12)+I43+I44+I45+I46+I47+I48,0)</f>
        <v>234497</v>
      </c>
      <c r="M43" s="80"/>
      <c r="N43" s="163">
        <v>1</v>
      </c>
      <c r="O43" s="126">
        <f>ROUND(+$N$10*(($L43*N43)/L$85),0)</f>
        <v>4776</v>
      </c>
      <c r="P43" s="127">
        <f>IF(O43&lt;&gt;0,ROUND((O43/$I43)*$H43,5),ROUND((N$10/$I$85)*$H43*N43,5))</f>
        <v>3.7499999999999999E-3</v>
      </c>
      <c r="Q43" s="83"/>
    </row>
    <row r="44" spans="1:17" x14ac:dyDescent="0.25">
      <c r="A44" s="75">
        <f t="shared" si="0"/>
        <v>38</v>
      </c>
      <c r="B44" s="76"/>
      <c r="C44" s="77" t="s">
        <v>41</v>
      </c>
      <c r="D44" s="131">
        <v>435705.28615902236</v>
      </c>
      <c r="E44" s="78">
        <v>0.13764000000000001</v>
      </c>
      <c r="F44" s="78">
        <v>0</v>
      </c>
      <c r="G44" s="78">
        <v>-1.16E-3</v>
      </c>
      <c r="H44" s="78">
        <f t="shared" si="1"/>
        <v>0.13880000000000001</v>
      </c>
      <c r="I44" s="79"/>
      <c r="J44" s="162"/>
      <c r="K44" s="131"/>
      <c r="L44" s="139"/>
      <c r="M44" s="80"/>
      <c r="N44" s="163">
        <v>1</v>
      </c>
      <c r="O44" s="128"/>
      <c r="P44" s="129">
        <f>IF(O43&lt;&gt;0,ROUND((O43/$I43)*$H44,5),ROUND((N$10/$I$85)*$H44*N44,5))</f>
        <v>3.3600000000000001E-3</v>
      </c>
      <c r="Q44" s="83"/>
    </row>
    <row r="45" spans="1:17" x14ac:dyDescent="0.25">
      <c r="A45" s="75">
        <f t="shared" si="0"/>
        <v>39</v>
      </c>
      <c r="B45" s="76"/>
      <c r="C45" s="77" t="s">
        <v>46</v>
      </c>
      <c r="D45" s="131">
        <v>435705.28615902236</v>
      </c>
      <c r="E45" s="78">
        <v>0.10553</v>
      </c>
      <c r="F45" s="78">
        <v>0</v>
      </c>
      <c r="G45" s="78">
        <v>-9.0000000000000008E-4</v>
      </c>
      <c r="H45" s="78">
        <f t="shared" si="1"/>
        <v>0.10643</v>
      </c>
      <c r="I45" s="79"/>
      <c r="J45" s="162"/>
      <c r="K45" s="131"/>
      <c r="L45" s="139"/>
      <c r="M45" s="80"/>
      <c r="N45" s="163">
        <v>1</v>
      </c>
      <c r="O45" s="128"/>
      <c r="P45" s="129">
        <f>IF(O43&lt;&gt;0,ROUND((O43/$I43)*$H45,5),ROUND((N$10/$I$85)*$H45*N45,5))</f>
        <v>2.5799999999999998E-3</v>
      </c>
      <c r="Q45" s="83"/>
    </row>
    <row r="46" spans="1:17" x14ac:dyDescent="0.25">
      <c r="A46" s="75">
        <f t="shared" si="0"/>
        <v>40</v>
      </c>
      <c r="B46" s="76"/>
      <c r="C46" s="77" t="s">
        <v>47</v>
      </c>
      <c r="D46" s="131">
        <v>665436.34460244386</v>
      </c>
      <c r="E46" s="78">
        <v>8.4450000000000011E-2</v>
      </c>
      <c r="F46" s="78">
        <v>0</v>
      </c>
      <c r="G46" s="78">
        <v>-7.0999999999999991E-4</v>
      </c>
      <c r="H46" s="78">
        <f t="shared" si="1"/>
        <v>8.5160000000000013E-2</v>
      </c>
      <c r="I46" s="79"/>
      <c r="J46" s="162"/>
      <c r="K46" s="131"/>
      <c r="L46" s="139"/>
      <c r="M46" s="80"/>
      <c r="N46" s="163">
        <v>1</v>
      </c>
      <c r="O46" s="128"/>
      <c r="P46" s="129">
        <f>IF(O43&lt;&gt;0,ROUND((O43/$I43)*$H46,5),ROUND((N$10/$I$85)*$H46*N46,5))</f>
        <v>2.0600000000000002E-3</v>
      </c>
      <c r="Q46" s="83"/>
    </row>
    <row r="47" spans="1:17" x14ac:dyDescent="0.25">
      <c r="A47" s="75">
        <f t="shared" si="0"/>
        <v>41</v>
      </c>
      <c r="B47" s="76"/>
      <c r="C47" s="77" t="s">
        <v>48</v>
      </c>
      <c r="D47" s="131">
        <v>0</v>
      </c>
      <c r="E47" s="78">
        <v>5.629E-2</v>
      </c>
      <c r="F47" s="78">
        <v>0</v>
      </c>
      <c r="G47" s="78">
        <v>-4.8000000000000007E-4</v>
      </c>
      <c r="H47" s="78">
        <f>+E47-F47-G47</f>
        <v>5.6770000000000001E-2</v>
      </c>
      <c r="L47" s="139"/>
      <c r="M47" s="80"/>
      <c r="N47" s="163">
        <v>1</v>
      </c>
      <c r="O47" s="128"/>
      <c r="P47" s="129">
        <f>IF(O43&lt;&gt;0,ROUND((O43/$I43)*$H47,5),ROUND((N$10/$I$85)*$H47*N47,5))</f>
        <v>1.3699999999999999E-3</v>
      </c>
      <c r="Q47" s="83"/>
    </row>
    <row r="48" spans="1:17" x14ac:dyDescent="0.25">
      <c r="A48" s="75">
        <f t="shared" si="0"/>
        <v>42</v>
      </c>
      <c r="B48" s="122"/>
      <c r="C48" s="85" t="s">
        <v>49</v>
      </c>
      <c r="D48" s="132">
        <v>0</v>
      </c>
      <c r="E48" s="86">
        <v>2.111E-2</v>
      </c>
      <c r="F48" s="86">
        <v>0</v>
      </c>
      <c r="G48" s="86">
        <v>-1.7000000000000001E-4</v>
      </c>
      <c r="H48" s="86">
        <f t="shared" ref="H48:H58" si="6">+E48-F48-G48</f>
        <v>2.128E-2</v>
      </c>
      <c r="I48" s="87"/>
      <c r="J48" s="164"/>
      <c r="K48" s="132"/>
      <c r="L48" s="154"/>
      <c r="M48" s="88"/>
      <c r="N48" s="161">
        <v>1</v>
      </c>
      <c r="O48" s="89"/>
      <c r="P48" s="90">
        <f>IF(O43&lt;&gt;0,ROUND((O43/$I43)*$H48,5),ROUND((N$10/$I$85)*$H48*N48,5))</f>
        <v>5.1999999999999995E-4</v>
      </c>
      <c r="Q48" s="83"/>
    </row>
    <row r="49" spans="1:17" x14ac:dyDescent="0.25">
      <c r="A49" s="75">
        <f t="shared" si="0"/>
        <v>43</v>
      </c>
      <c r="B49" s="76" t="s">
        <v>101</v>
      </c>
      <c r="C49" s="77" t="s">
        <v>40</v>
      </c>
      <c r="D49" s="131">
        <v>840318.28913812735</v>
      </c>
      <c r="E49" s="78">
        <v>0.15086000000000002</v>
      </c>
      <c r="F49" s="78">
        <v>0</v>
      </c>
      <c r="G49" s="78">
        <v>-1.1800000000000001E-3</v>
      </c>
      <c r="H49" s="78">
        <f t="shared" si="6"/>
        <v>0.15204000000000001</v>
      </c>
      <c r="I49" s="125">
        <f>ROUND((H49*D49)+(D50*H50)+(D51*H51)+(D52*H52)+(D53*H53)+(D54*H54),0)</f>
        <v>650073</v>
      </c>
      <c r="J49" s="162">
        <v>1550</v>
      </c>
      <c r="K49" s="131">
        <v>8</v>
      </c>
      <c r="L49" s="155">
        <f>ROUND((J49*K49*12)+I49+I50+I51+I52+I53+I54,0)</f>
        <v>798873</v>
      </c>
      <c r="M49" s="80"/>
      <c r="N49" s="163">
        <v>1</v>
      </c>
      <c r="O49" s="126">
        <f>ROUND(+$N$10*(($L49*N49)/L$85),0)</f>
        <v>16272</v>
      </c>
      <c r="P49" s="127">
        <f>IF(O49&lt;&gt;0,ROUND((O49/$I49)*$H49,5),ROUND((N$10/$I$85)*$H49*N49,5))</f>
        <v>3.81E-3</v>
      </c>
      <c r="Q49" s="83"/>
    </row>
    <row r="50" spans="1:17" x14ac:dyDescent="0.25">
      <c r="A50" s="75">
        <f t="shared" si="0"/>
        <v>44</v>
      </c>
      <c r="B50" s="76"/>
      <c r="C50" s="77" t="s">
        <v>41</v>
      </c>
      <c r="D50" s="131">
        <v>1062417.1455207404</v>
      </c>
      <c r="E50" s="78">
        <v>0.13502999999999993</v>
      </c>
      <c r="F50" s="78">
        <v>0</v>
      </c>
      <c r="G50" s="78">
        <v>-1.0599999999999997E-3</v>
      </c>
      <c r="H50" s="78">
        <f t="shared" si="6"/>
        <v>0.13608999999999993</v>
      </c>
      <c r="I50" s="79"/>
      <c r="J50" s="162"/>
      <c r="K50" s="131"/>
      <c r="L50" s="139"/>
      <c r="M50" s="80"/>
      <c r="N50" s="163">
        <v>1</v>
      </c>
      <c r="O50" s="128"/>
      <c r="P50" s="129">
        <f>IF(O49&lt;&gt;0,ROUND((O49/$I49)*$H50,5),ROUND((N$10/$I$85)*$H50*N50,5))</f>
        <v>3.4099999999999998E-3</v>
      </c>
      <c r="Q50" s="83"/>
    </row>
    <row r="51" spans="1:17" x14ac:dyDescent="0.25">
      <c r="A51" s="75">
        <f t="shared" si="0"/>
        <v>45</v>
      </c>
      <c r="B51" s="76"/>
      <c r="C51" s="77" t="s">
        <v>46</v>
      </c>
      <c r="D51" s="131">
        <v>936547.2792859514</v>
      </c>
      <c r="E51" s="78">
        <v>0.10354000000000001</v>
      </c>
      <c r="F51" s="78">
        <v>0</v>
      </c>
      <c r="G51" s="78">
        <v>-8.1999999999999998E-4</v>
      </c>
      <c r="H51" s="78">
        <f t="shared" si="6"/>
        <v>0.10436000000000001</v>
      </c>
      <c r="I51" s="79"/>
      <c r="J51" s="162"/>
      <c r="K51" s="131"/>
      <c r="L51" s="139"/>
      <c r="M51" s="80"/>
      <c r="N51" s="163">
        <v>1</v>
      </c>
      <c r="O51" s="128"/>
      <c r="P51" s="129">
        <f>IF(O49&lt;&gt;0,ROUND((O49/$I49)*$H51,5),ROUND((N$10/$I$85)*$H51*N51,5))</f>
        <v>2.6099999999999999E-3</v>
      </c>
      <c r="Q51" s="83"/>
    </row>
    <row r="52" spans="1:17" x14ac:dyDescent="0.25">
      <c r="A52" s="75">
        <f t="shared" si="0"/>
        <v>46</v>
      </c>
      <c r="B52" s="76"/>
      <c r="C52" s="77" t="s">
        <v>47</v>
      </c>
      <c r="D52" s="131">
        <v>2527102.6120563564</v>
      </c>
      <c r="E52" s="78">
        <v>8.2830000000000029E-2</v>
      </c>
      <c r="F52" s="78">
        <v>0</v>
      </c>
      <c r="G52" s="78">
        <v>-6.6E-4</v>
      </c>
      <c r="H52" s="78">
        <f t="shared" si="6"/>
        <v>8.3490000000000023E-2</v>
      </c>
      <c r="I52" s="79"/>
      <c r="J52" s="162"/>
      <c r="K52" s="131"/>
      <c r="L52" s="139"/>
      <c r="M52" s="80"/>
      <c r="N52" s="163">
        <v>1</v>
      </c>
      <c r="O52" s="128"/>
      <c r="P52" s="129">
        <f>IF(O49&lt;&gt;0,ROUND((O49/$I49)*$H52,5),ROUND((N$10/$I$85)*$H52*N52,5))</f>
        <v>2.0899999999999998E-3</v>
      </c>
      <c r="Q52" s="83"/>
    </row>
    <row r="53" spans="1:17" x14ac:dyDescent="0.25">
      <c r="A53" s="75">
        <f t="shared" si="0"/>
        <v>47</v>
      </c>
      <c r="B53" s="76"/>
      <c r="C53" s="77" t="s">
        <v>48</v>
      </c>
      <c r="D53" s="131">
        <v>1239685.5839988254</v>
      </c>
      <c r="E53" s="78">
        <v>5.5230000000000001E-2</v>
      </c>
      <c r="F53" s="78">
        <v>0</v>
      </c>
      <c r="G53" s="78">
        <v>-4.2999999999999999E-4</v>
      </c>
      <c r="H53" s="78">
        <f t="shared" si="6"/>
        <v>5.5660000000000001E-2</v>
      </c>
      <c r="L53" s="139"/>
      <c r="M53" s="80"/>
      <c r="N53" s="163">
        <v>1</v>
      </c>
      <c r="O53" s="128"/>
      <c r="P53" s="129">
        <f>IF(O49&lt;&gt;0,ROUND((O49/$I49)*$H53,5),ROUND((N$10/$I$85)*$H53*N53,5))</f>
        <v>1.39E-3</v>
      </c>
      <c r="Q53" s="83"/>
    </row>
    <row r="54" spans="1:17" x14ac:dyDescent="0.25">
      <c r="A54" s="75">
        <f t="shared" si="0"/>
        <v>48</v>
      </c>
      <c r="B54" s="122"/>
      <c r="C54" s="85" t="s">
        <v>49</v>
      </c>
      <c r="D54" s="132">
        <v>0</v>
      </c>
      <c r="E54" s="86">
        <v>2.0709999999999999E-2</v>
      </c>
      <c r="F54" s="86">
        <v>0</v>
      </c>
      <c r="G54" s="86">
        <v>-1.6000000000000001E-4</v>
      </c>
      <c r="H54" s="86">
        <f t="shared" si="6"/>
        <v>2.087E-2</v>
      </c>
      <c r="I54" s="87"/>
      <c r="J54" s="164"/>
      <c r="K54" s="132"/>
      <c r="L54" s="154"/>
      <c r="M54" s="88"/>
      <c r="N54" s="161">
        <v>1</v>
      </c>
      <c r="O54" s="89"/>
      <c r="P54" s="90">
        <f>IF(O49&lt;&gt;0,ROUND((O49/$I49)*$H54,5),ROUND((N$10/$I$85)*$H54*N54,5))</f>
        <v>5.1999999999999995E-4</v>
      </c>
      <c r="Q54" s="83"/>
    </row>
    <row r="55" spans="1:17" x14ac:dyDescent="0.25">
      <c r="A55" s="75">
        <f t="shared" si="0"/>
        <v>49</v>
      </c>
      <c r="B55" s="76" t="s">
        <v>53</v>
      </c>
      <c r="C55" s="77" t="s">
        <v>40</v>
      </c>
      <c r="D55" s="131">
        <v>226931.87075753463</v>
      </c>
      <c r="E55" s="78">
        <v>0.76839000000000013</v>
      </c>
      <c r="F55" s="78">
        <v>0.46972000000000003</v>
      </c>
      <c r="G55" s="78">
        <v>0.1288</v>
      </c>
      <c r="H55" s="78">
        <f t="shared" si="6"/>
        <v>0.1698700000000001</v>
      </c>
      <c r="I55" s="125">
        <f>ROUND((H55*D55)+(D56*H56)+(D57*H57)+(D58*H58)+(D59*H59)+(D60*H60),0)</f>
        <v>134629</v>
      </c>
      <c r="J55" s="162">
        <v>1300</v>
      </c>
      <c r="K55" s="131">
        <v>2</v>
      </c>
      <c r="L55" s="155">
        <f>ROUND((J55*K55*12)+I55+I56+I57+I58+I59+I60,0)</f>
        <v>165829</v>
      </c>
      <c r="M55" s="80"/>
      <c r="N55" s="163">
        <v>1</v>
      </c>
      <c r="O55" s="126">
        <f>ROUND(+$N$10*(($L55*N55)/L$85),0)</f>
        <v>3378</v>
      </c>
      <c r="P55" s="127">
        <f>IF(O55&lt;&gt;0,ROUND((O55/$I55)*$H55,5),ROUND((N$10/$I$85)*$H55*N55,5))</f>
        <v>4.2599999999999999E-3</v>
      </c>
      <c r="Q55" s="83"/>
    </row>
    <row r="56" spans="1:17" x14ac:dyDescent="0.25">
      <c r="A56" s="75">
        <f t="shared" si="0"/>
        <v>50</v>
      </c>
      <c r="B56" s="76"/>
      <c r="C56" s="77" t="s">
        <v>41</v>
      </c>
      <c r="D56" s="131">
        <v>425616.39690252516</v>
      </c>
      <c r="E56" s="78">
        <v>0.74927999999999984</v>
      </c>
      <c r="F56" s="78">
        <v>0.46972000000000003</v>
      </c>
      <c r="G56" s="78">
        <v>0.12749999999999997</v>
      </c>
      <c r="H56" s="78">
        <f t="shared" si="6"/>
        <v>0.15205999999999983</v>
      </c>
      <c r="I56" s="79"/>
      <c r="J56" s="162"/>
      <c r="K56" s="131"/>
      <c r="L56" s="139"/>
      <c r="M56" s="80"/>
      <c r="N56" s="163">
        <v>1</v>
      </c>
      <c r="O56" s="128"/>
      <c r="P56" s="129">
        <f>IF(O55&lt;&gt;0,ROUND((O55/$I55)*$H56,5),ROUND((N$10/$I$85)*$H56*N56,5))</f>
        <v>3.82E-3</v>
      </c>
      <c r="Q56" s="83"/>
    </row>
    <row r="57" spans="1:17" x14ac:dyDescent="0.25">
      <c r="A57" s="75">
        <f t="shared" si="0"/>
        <v>51</v>
      </c>
      <c r="B57" s="76"/>
      <c r="C57" s="77" t="s">
        <v>46</v>
      </c>
      <c r="D57" s="131">
        <v>194048.49713530636</v>
      </c>
      <c r="E57" s="78">
        <v>0.71125000000000005</v>
      </c>
      <c r="F57" s="78">
        <v>0.46972000000000003</v>
      </c>
      <c r="G57" s="78">
        <v>0.12493999999999998</v>
      </c>
      <c r="H57" s="78">
        <f t="shared" si="6"/>
        <v>0.11659000000000004</v>
      </c>
      <c r="I57" s="79"/>
      <c r="J57" s="162"/>
      <c r="K57" s="131"/>
      <c r="L57" s="139"/>
      <c r="M57" s="80"/>
      <c r="N57" s="163">
        <v>1</v>
      </c>
      <c r="O57" s="128"/>
      <c r="P57" s="129">
        <f>IF(O55&lt;&gt;0,ROUND((O55/$I55)*$H57,5),ROUND((N$10/$I$85)*$H57*N57,5))</f>
        <v>2.9299999999999999E-3</v>
      </c>
      <c r="Q57" s="83"/>
    </row>
    <row r="58" spans="1:17" x14ac:dyDescent="0.25">
      <c r="A58" s="75">
        <f t="shared" si="0"/>
        <v>52</v>
      </c>
      <c r="B58" s="76"/>
      <c r="C58" s="77" t="s">
        <v>47</v>
      </c>
      <c r="D58" s="131">
        <v>93667.075204633904</v>
      </c>
      <c r="E58" s="78">
        <v>0.68620999999999999</v>
      </c>
      <c r="F58" s="78">
        <v>0.46972000000000003</v>
      </c>
      <c r="G58" s="78">
        <v>0.12322</v>
      </c>
      <c r="H58" s="78">
        <f t="shared" si="6"/>
        <v>9.3269999999999964E-2</v>
      </c>
      <c r="I58" s="79"/>
      <c r="J58" s="162"/>
      <c r="K58" s="131"/>
      <c r="L58" s="139"/>
      <c r="M58" s="80"/>
      <c r="N58" s="163">
        <v>1</v>
      </c>
      <c r="O58" s="128"/>
      <c r="P58" s="129">
        <f>IF(O55&lt;&gt;0,ROUND((O55/$I55)*$H58,5),ROUND((N$10/$I$85)*$H58*N58,5))</f>
        <v>2.3400000000000001E-3</v>
      </c>
      <c r="Q58" s="83"/>
    </row>
    <row r="59" spans="1:17" x14ac:dyDescent="0.25">
      <c r="A59" s="75">
        <f t="shared" si="0"/>
        <v>53</v>
      </c>
      <c r="B59" s="76"/>
      <c r="C59" s="77" t="s">
        <v>48</v>
      </c>
      <c r="D59" s="131">
        <v>0</v>
      </c>
      <c r="E59" s="78">
        <v>0.65288000000000002</v>
      </c>
      <c r="F59" s="78">
        <v>0.46972000000000003</v>
      </c>
      <c r="G59" s="78">
        <v>0.12096</v>
      </c>
      <c r="H59" s="78">
        <f t="shared" si="1"/>
        <v>6.2199999999999991E-2</v>
      </c>
      <c r="L59" s="139"/>
      <c r="M59" s="80"/>
      <c r="N59" s="163">
        <v>1</v>
      </c>
      <c r="O59" s="128"/>
      <c r="P59" s="129">
        <f>IF(O55&lt;&gt;0,ROUND((O55/$I55)*$H59,5),ROUND((N$10/$I$85)*$H59*N59,5))</f>
        <v>1.56E-3</v>
      </c>
      <c r="Q59" s="83"/>
    </row>
    <row r="60" spans="1:17" x14ac:dyDescent="0.25">
      <c r="A60" s="75">
        <f t="shared" si="0"/>
        <v>54</v>
      </c>
      <c r="B60" s="122"/>
      <c r="C60" s="85" t="s">
        <v>49</v>
      </c>
      <c r="D60" s="132">
        <v>0</v>
      </c>
      <c r="E60" s="86">
        <v>0.61117999999999995</v>
      </c>
      <c r="F60" s="86">
        <v>0.46972000000000003</v>
      </c>
      <c r="G60" s="86">
        <v>0.11812999999999999</v>
      </c>
      <c r="H60" s="86">
        <f t="shared" si="1"/>
        <v>2.3329999999999934E-2</v>
      </c>
      <c r="L60" s="154"/>
      <c r="M60" s="88"/>
      <c r="N60" s="161">
        <v>1</v>
      </c>
      <c r="O60" s="89"/>
      <c r="P60" s="90">
        <f>IF(O55&lt;&gt;0,ROUND((O55/$I55)*$H60,5),ROUND((N$10/$I$85)*$H60*N60,5))</f>
        <v>5.9000000000000003E-4</v>
      </c>
      <c r="Q60" s="83"/>
    </row>
    <row r="61" spans="1:17" x14ac:dyDescent="0.25">
      <c r="A61" s="75">
        <f t="shared" si="0"/>
        <v>55</v>
      </c>
      <c r="B61" s="76" t="s">
        <v>54</v>
      </c>
      <c r="C61" s="77" t="s">
        <v>40</v>
      </c>
      <c r="D61" s="131">
        <v>128853.19376431129</v>
      </c>
      <c r="E61" s="78">
        <v>0.75104999999999988</v>
      </c>
      <c r="F61" s="78">
        <v>0.46972000000000003</v>
      </c>
      <c r="G61" s="78">
        <v>0.11742</v>
      </c>
      <c r="H61" s="78">
        <f t="shared" si="1"/>
        <v>0.16390999999999986</v>
      </c>
      <c r="I61" s="125">
        <f>ROUND((H61*D61)+(D62*H62)+(D63*H63)+(D64*H64)+(D65*H65)+(D66*H66),0)</f>
        <v>34484</v>
      </c>
      <c r="J61" s="167">
        <v>1300</v>
      </c>
      <c r="K61" s="168">
        <v>1</v>
      </c>
      <c r="L61" s="155">
        <f>ROUND((J61*K61*12)+I61+I62+I63+I64+I65+I66,0)</f>
        <v>50084</v>
      </c>
      <c r="M61" s="80"/>
      <c r="N61" s="163">
        <v>1</v>
      </c>
      <c r="O61" s="126">
        <f>ROUND(+$N$10*(($L61*N61)/L$85),0)</f>
        <v>1020</v>
      </c>
      <c r="P61" s="127">
        <f>IF(O61&lt;&gt;0,ROUND((O61/$I61)*$H61,5),ROUND((N$10/$I$85)*$H61*N61,5))</f>
        <v>4.8500000000000001E-3</v>
      </c>
      <c r="Q61" s="83"/>
    </row>
    <row r="62" spans="1:17" x14ac:dyDescent="0.25">
      <c r="A62" s="75">
        <f t="shared" si="0"/>
        <v>56</v>
      </c>
      <c r="B62" s="76"/>
      <c r="C62" s="77" t="s">
        <v>41</v>
      </c>
      <c r="D62" s="131">
        <v>91078.806235688724</v>
      </c>
      <c r="E62" s="78">
        <v>0.73375999999999997</v>
      </c>
      <c r="F62" s="78">
        <v>0.46972000000000003</v>
      </c>
      <c r="G62" s="78">
        <v>0.11730999999999998</v>
      </c>
      <c r="H62" s="78">
        <f t="shared" si="1"/>
        <v>0.14672999999999997</v>
      </c>
      <c r="I62" s="79"/>
      <c r="J62" s="162"/>
      <c r="K62" s="131"/>
      <c r="L62" s="139"/>
      <c r="M62" s="80"/>
      <c r="N62" s="163">
        <v>1</v>
      </c>
      <c r="O62" s="128"/>
      <c r="P62" s="129">
        <f>IF(O61&lt;&gt;0,ROUND((O61/$I61)*$H62,5),ROUND((N$10/$I$85)*$H62*N62,5))</f>
        <v>4.3400000000000001E-3</v>
      </c>
      <c r="Q62" s="83"/>
    </row>
    <row r="63" spans="1:17" x14ac:dyDescent="0.25">
      <c r="A63" s="75">
        <f t="shared" si="0"/>
        <v>57</v>
      </c>
      <c r="B63" s="76"/>
      <c r="C63" s="77" t="s">
        <v>46</v>
      </c>
      <c r="D63" s="131">
        <v>0</v>
      </c>
      <c r="E63" s="78">
        <v>0.69936000000000009</v>
      </c>
      <c r="F63" s="78">
        <v>0.46972000000000003</v>
      </c>
      <c r="G63" s="78">
        <v>0.11712</v>
      </c>
      <c r="H63" s="78">
        <f t="shared" si="1"/>
        <v>0.11252000000000006</v>
      </c>
      <c r="I63" s="79"/>
      <c r="J63" s="162"/>
      <c r="K63" s="131"/>
      <c r="L63" s="139"/>
      <c r="M63" s="80"/>
      <c r="N63" s="163">
        <v>1</v>
      </c>
      <c r="O63" s="128"/>
      <c r="P63" s="129">
        <f>IF(O61&lt;&gt;0,ROUND((O61/$I61)*$H63,5),ROUND((N$10/$I$85)*$H63*N63,5))</f>
        <v>3.3300000000000001E-3</v>
      </c>
      <c r="Q63" s="83"/>
    </row>
    <row r="64" spans="1:17" x14ac:dyDescent="0.25">
      <c r="A64" s="75">
        <f t="shared" si="0"/>
        <v>58</v>
      </c>
      <c r="B64" s="76"/>
      <c r="C64" s="77" t="s">
        <v>47</v>
      </c>
      <c r="D64" s="131">
        <v>0</v>
      </c>
      <c r="E64" s="78">
        <v>0.6767099999999997</v>
      </c>
      <c r="F64" s="78">
        <v>0.46972000000000003</v>
      </c>
      <c r="G64" s="78">
        <v>0.11696999999999999</v>
      </c>
      <c r="H64" s="78">
        <f t="shared" si="1"/>
        <v>9.0019999999999684E-2</v>
      </c>
      <c r="I64" s="79"/>
      <c r="J64" s="162"/>
      <c r="K64" s="131"/>
      <c r="L64" s="139"/>
      <c r="M64" s="80"/>
      <c r="N64" s="163">
        <v>1</v>
      </c>
      <c r="O64" s="128"/>
      <c r="P64" s="129">
        <f>IF(O61&lt;&gt;0,ROUND((O61/$I61)*$H64,5),ROUND((N$10/$I$85)*$H64*N64,5))</f>
        <v>2.66E-3</v>
      </c>
      <c r="Q64" s="83"/>
    </row>
    <row r="65" spans="1:17" x14ac:dyDescent="0.25">
      <c r="A65" s="75">
        <f t="shared" si="0"/>
        <v>59</v>
      </c>
      <c r="B65" s="76"/>
      <c r="C65" s="77" t="s">
        <v>48</v>
      </c>
      <c r="D65" s="131">
        <v>0</v>
      </c>
      <c r="E65" s="78">
        <v>0.64652000000000009</v>
      </c>
      <c r="F65" s="78">
        <v>0.46972000000000003</v>
      </c>
      <c r="G65" s="78">
        <v>0.11679999999999999</v>
      </c>
      <c r="H65" s="78">
        <f t="shared" si="1"/>
        <v>6.0000000000000081E-2</v>
      </c>
      <c r="L65" s="139"/>
      <c r="M65" s="80"/>
      <c r="N65" s="163">
        <v>1</v>
      </c>
      <c r="O65" s="128"/>
      <c r="P65" s="129">
        <f>IF(O61&lt;&gt;0,ROUND((O61/$I61)*$H65,5),ROUND((N$10/$I$85)*$H65*N65,5))</f>
        <v>1.7700000000000001E-3</v>
      </c>
      <c r="Q65" s="83"/>
    </row>
    <row r="66" spans="1:17" x14ac:dyDescent="0.25">
      <c r="A66" s="75">
        <f t="shared" si="0"/>
        <v>60</v>
      </c>
      <c r="B66" s="122"/>
      <c r="C66" s="85" t="s">
        <v>49</v>
      </c>
      <c r="D66" s="132">
        <v>0</v>
      </c>
      <c r="E66" s="86">
        <v>0.60878999999999994</v>
      </c>
      <c r="F66" s="86">
        <v>0.46972000000000003</v>
      </c>
      <c r="G66" s="86">
        <v>0.11656999999999999</v>
      </c>
      <c r="H66" s="86">
        <f t="shared" si="1"/>
        <v>2.2499999999999923E-2</v>
      </c>
      <c r="I66" s="169"/>
      <c r="J66" s="169"/>
      <c r="K66" s="169"/>
      <c r="L66" s="154"/>
      <c r="M66" s="88"/>
      <c r="N66" s="161">
        <v>1</v>
      </c>
      <c r="O66" s="89"/>
      <c r="P66" s="90">
        <f>IF(O61&lt;&gt;0,ROUND((O61/$I61)*$H66,5),ROUND((N$10/$I$85)*$H66*N66,5))</f>
        <v>6.7000000000000002E-4</v>
      </c>
      <c r="Q66" s="83"/>
    </row>
    <row r="67" spans="1:17" x14ac:dyDescent="0.25">
      <c r="A67" s="75">
        <f t="shared" si="0"/>
        <v>61</v>
      </c>
      <c r="B67" s="76" t="s">
        <v>102</v>
      </c>
      <c r="C67" s="77" t="s">
        <v>40</v>
      </c>
      <c r="D67" s="131">
        <v>0</v>
      </c>
      <c r="E67" s="78">
        <v>0.14294999999999999</v>
      </c>
      <c r="F67" s="78">
        <v>0</v>
      </c>
      <c r="G67" s="78">
        <v>1.2599999999999998E-3</v>
      </c>
      <c r="H67" s="78">
        <f>+E67-F67-G67</f>
        <v>0.14168999999999998</v>
      </c>
      <c r="I67" s="124">
        <f>ROUND((H67*D67)+(D68*H68)+(D69*H69)+(D70*H70)+(D71*H71)+(D72*H72),0)</f>
        <v>0</v>
      </c>
      <c r="J67" s="162">
        <v>1550</v>
      </c>
      <c r="K67" s="131">
        <v>0</v>
      </c>
      <c r="L67" s="155">
        <f>ROUND((J67*K67*12)+I67+I68+I69+I70+I71+I72,0)</f>
        <v>0</v>
      </c>
      <c r="M67" s="80"/>
      <c r="N67" s="163">
        <v>1</v>
      </c>
      <c r="O67" s="126">
        <f>ROUND(+$N$10*(($L67*N67)/L$85),0)</f>
        <v>0</v>
      </c>
      <c r="P67" s="127">
        <f>IF(O67&lt;&gt;0,ROUND((O67/$I67)*$H67,5),ROUND((N$10/$I$85)*$H67*N67,5))</f>
        <v>3.5500000000000002E-3</v>
      </c>
      <c r="Q67" s="83"/>
    </row>
    <row r="68" spans="1:17" x14ac:dyDescent="0.25">
      <c r="A68" s="75">
        <f t="shared" si="0"/>
        <v>62</v>
      </c>
      <c r="B68" s="76"/>
      <c r="C68" s="77" t="s">
        <v>41</v>
      </c>
      <c r="D68" s="131">
        <v>0</v>
      </c>
      <c r="E68" s="78">
        <v>0.12797</v>
      </c>
      <c r="F68" s="78">
        <v>0</v>
      </c>
      <c r="G68" s="78">
        <v>1.1200000000000001E-3</v>
      </c>
      <c r="H68" s="78">
        <f t="shared" si="1"/>
        <v>0.12684999999999999</v>
      </c>
      <c r="I68" s="79"/>
      <c r="J68" s="162"/>
      <c r="K68" s="131"/>
      <c r="L68" s="139"/>
      <c r="M68" s="80"/>
      <c r="N68" s="163">
        <v>1</v>
      </c>
      <c r="O68" s="128"/>
      <c r="P68" s="129">
        <f>IF(O67&lt;&gt;0,ROUND((O67/$I67)*$H68,5),ROUND((N$10/$I$85)*$H68*N68,5))</f>
        <v>3.1800000000000001E-3</v>
      </c>
      <c r="Q68" s="83"/>
    </row>
    <row r="69" spans="1:17" x14ac:dyDescent="0.25">
      <c r="A69" s="75">
        <f t="shared" si="0"/>
        <v>63</v>
      </c>
      <c r="B69" s="76"/>
      <c r="C69" s="77" t="s">
        <v>46</v>
      </c>
      <c r="D69" s="131">
        <v>0</v>
      </c>
      <c r="E69" s="78">
        <v>9.8129999999999995E-2</v>
      </c>
      <c r="F69" s="78">
        <v>0</v>
      </c>
      <c r="G69" s="78">
        <v>8.6000000000000009E-4</v>
      </c>
      <c r="H69" s="78">
        <f t="shared" si="1"/>
        <v>9.7269999999999995E-2</v>
      </c>
      <c r="I69" s="79"/>
      <c r="J69" s="162"/>
      <c r="K69" s="131"/>
      <c r="L69" s="139"/>
      <c r="M69" s="80"/>
      <c r="N69" s="163">
        <v>1</v>
      </c>
      <c r="O69" s="128"/>
      <c r="P69" s="129">
        <f>IF(O67&lt;&gt;0,ROUND((O67/$I67)*$H69,5),ROUND((N$10/$I$85)*$H69*N69,5))</f>
        <v>2.4399999999999999E-3</v>
      </c>
      <c r="Q69" s="83"/>
    </row>
    <row r="70" spans="1:17" x14ac:dyDescent="0.25">
      <c r="A70" s="75">
        <f t="shared" si="0"/>
        <v>64</v>
      </c>
      <c r="B70" s="76"/>
      <c r="C70" s="77" t="s">
        <v>47</v>
      </c>
      <c r="D70" s="131">
        <v>0</v>
      </c>
      <c r="E70" s="78">
        <v>7.8509999999999996E-2</v>
      </c>
      <c r="F70" s="78">
        <v>0</v>
      </c>
      <c r="G70" s="78">
        <v>6.8999999999999997E-4</v>
      </c>
      <c r="H70" s="78">
        <f t="shared" si="1"/>
        <v>7.782E-2</v>
      </c>
      <c r="I70" s="79"/>
      <c r="J70" s="162"/>
      <c r="K70" s="131"/>
      <c r="L70" s="139"/>
      <c r="M70" s="80"/>
      <c r="N70" s="163">
        <v>1</v>
      </c>
      <c r="O70" s="128"/>
      <c r="P70" s="129">
        <f>IF(O67&lt;&gt;0,ROUND((O67/$I67)*$H70,5),ROUND((N$10/$I$85)*$H70*N70,5))</f>
        <v>1.9499999999999999E-3</v>
      </c>
      <c r="Q70" s="83"/>
    </row>
    <row r="71" spans="1:17" x14ac:dyDescent="0.25">
      <c r="A71" s="75">
        <f t="shared" si="0"/>
        <v>65</v>
      </c>
      <c r="B71" s="76"/>
      <c r="C71" s="77" t="s">
        <v>48</v>
      </c>
      <c r="D71" s="131">
        <v>0</v>
      </c>
      <c r="E71" s="78">
        <v>5.2350000000000001E-2</v>
      </c>
      <c r="F71" s="78">
        <v>0</v>
      </c>
      <c r="G71" s="78">
        <v>4.5999999999999996E-4</v>
      </c>
      <c r="H71" s="78">
        <f t="shared" si="1"/>
        <v>5.1889999999999999E-2</v>
      </c>
      <c r="I71" s="79"/>
      <c r="J71" s="162"/>
      <c r="K71" s="131"/>
      <c r="L71" s="139"/>
      <c r="M71" s="80"/>
      <c r="N71" s="163">
        <v>1</v>
      </c>
      <c r="O71" s="128"/>
      <c r="P71" s="129">
        <f>IF(O67&lt;&gt;0,ROUND((O67/$I67)*$H71,5),ROUND((N$10/$I$85)*$H71*N71,5))</f>
        <v>1.2999999999999999E-3</v>
      </c>
      <c r="Q71" s="83"/>
    </row>
    <row r="72" spans="1:17" x14ac:dyDescent="0.25">
      <c r="A72" s="75">
        <f t="shared" ref="A72:A90" si="7">+A71+1</f>
        <v>66</v>
      </c>
      <c r="B72" s="122"/>
      <c r="C72" s="85" t="s">
        <v>49</v>
      </c>
      <c r="D72" s="132">
        <v>0</v>
      </c>
      <c r="E72" s="86">
        <v>1.9609999999999999E-2</v>
      </c>
      <c r="F72" s="86">
        <v>0</v>
      </c>
      <c r="G72" s="86">
        <v>1.7000000000000004E-4</v>
      </c>
      <c r="H72" s="78">
        <f t="shared" si="1"/>
        <v>1.9439999999999999E-2</v>
      </c>
      <c r="I72" s="87"/>
      <c r="J72" s="164"/>
      <c r="K72" s="132"/>
      <c r="L72" s="154"/>
      <c r="M72" s="88"/>
      <c r="N72" s="161">
        <v>1</v>
      </c>
      <c r="O72" s="89"/>
      <c r="P72" s="90">
        <f>IF(O67&lt;&gt;0,ROUND((O67/$I67)*$H72,5),ROUND((N$10/$I$85)*$H72*N72,5))</f>
        <v>4.8999999999999998E-4</v>
      </c>
      <c r="Q72" s="83"/>
    </row>
    <row r="73" spans="1:17" x14ac:dyDescent="0.25">
      <c r="A73" s="75">
        <f t="shared" si="7"/>
        <v>67</v>
      </c>
      <c r="B73" s="76" t="s">
        <v>103</v>
      </c>
      <c r="C73" s="77" t="s">
        <v>40</v>
      </c>
      <c r="D73" s="131">
        <v>830412.691773167</v>
      </c>
      <c r="E73" s="78">
        <v>0.14371999999999999</v>
      </c>
      <c r="F73" s="78">
        <v>0</v>
      </c>
      <c r="G73" s="78">
        <v>-9.3999999999999986E-4</v>
      </c>
      <c r="H73" s="130">
        <f t="shared" si="1"/>
        <v>0.14465999999999998</v>
      </c>
      <c r="I73" s="125">
        <f>ROUND((H73*D73)+(D74*H74)+(D75*H75)+(D76*H76)+(D77*H77)+(D78*H78),0)</f>
        <v>739329</v>
      </c>
      <c r="J73" s="162">
        <v>1550</v>
      </c>
      <c r="K73" s="131">
        <v>10</v>
      </c>
      <c r="L73" s="155">
        <f>ROUND((J73*K73*12)+I73+I74+I75+I76+I77+I78,0)</f>
        <v>925329</v>
      </c>
      <c r="M73" s="80"/>
      <c r="N73" s="163">
        <v>1</v>
      </c>
      <c r="O73" s="126">
        <f>ROUND(+$N$10*(($L73*N73)/L$85),0)</f>
        <v>18847</v>
      </c>
      <c r="P73" s="127">
        <f>IF(O73&lt;&gt;0,ROUND((O73/$I73)*$H73,5),ROUND((N$10/$I$85)*$H73*N73,5))</f>
        <v>3.6900000000000001E-3</v>
      </c>
      <c r="Q73" s="83"/>
    </row>
    <row r="74" spans="1:17" x14ac:dyDescent="0.25">
      <c r="A74" s="75">
        <f t="shared" si="7"/>
        <v>68</v>
      </c>
      <c r="B74" s="76"/>
      <c r="C74" s="77" t="s">
        <v>41</v>
      </c>
      <c r="D74" s="131">
        <v>1522701.1145343112</v>
      </c>
      <c r="E74" s="78">
        <v>0.12864999999999999</v>
      </c>
      <c r="F74" s="78">
        <v>0</v>
      </c>
      <c r="G74" s="78">
        <v>-8.4000000000000003E-4</v>
      </c>
      <c r="H74" s="78">
        <f t="shared" si="1"/>
        <v>0.12948999999999999</v>
      </c>
      <c r="I74" s="79"/>
      <c r="J74" s="162"/>
      <c r="K74" s="131"/>
      <c r="L74" s="139"/>
      <c r="M74" s="80"/>
      <c r="N74" s="163">
        <v>1</v>
      </c>
      <c r="O74" s="128"/>
      <c r="P74" s="129">
        <f>IF(O73&lt;&gt;0,ROUND((O73/$I73)*$H74,5),ROUND((N$10/$I$85)*$H74*N74,5))</f>
        <v>3.3E-3</v>
      </c>
      <c r="Q74" s="83"/>
    </row>
    <row r="75" spans="1:17" x14ac:dyDescent="0.25">
      <c r="A75" s="75">
        <f t="shared" si="7"/>
        <v>69</v>
      </c>
      <c r="B75" s="76"/>
      <c r="C75" s="77" t="s">
        <v>46</v>
      </c>
      <c r="D75" s="131">
        <v>1166628.4258088893</v>
      </c>
      <c r="E75" s="78">
        <v>9.8649999999999988E-2</v>
      </c>
      <c r="F75" s="78">
        <v>0</v>
      </c>
      <c r="G75" s="78">
        <v>-6.3999999999999994E-4</v>
      </c>
      <c r="H75" s="78">
        <f t="shared" si="1"/>
        <v>9.9289999999999989E-2</v>
      </c>
      <c r="I75" s="79"/>
      <c r="J75" s="162"/>
      <c r="K75" s="131"/>
      <c r="L75" s="139"/>
      <c r="M75" s="80"/>
      <c r="N75" s="163">
        <v>1</v>
      </c>
      <c r="O75" s="128"/>
      <c r="P75" s="129">
        <f>IF(O73&lt;&gt;0,ROUND((O73/$I73)*$H75,5),ROUND((N$10/$I$85)*$H75*N75,5))</f>
        <v>2.5300000000000001E-3</v>
      </c>
      <c r="Q75" s="83"/>
    </row>
    <row r="76" spans="1:17" x14ac:dyDescent="0.25">
      <c r="A76" s="75">
        <f t="shared" si="7"/>
        <v>70</v>
      </c>
      <c r="B76" s="76"/>
      <c r="C76" s="77" t="s">
        <v>47</v>
      </c>
      <c r="D76" s="131">
        <v>2984748.9545244905</v>
      </c>
      <c r="E76" s="78">
        <v>7.8939999999999996E-2</v>
      </c>
      <c r="F76" s="78">
        <v>0</v>
      </c>
      <c r="G76" s="78">
        <v>-5.1000000000000004E-4</v>
      </c>
      <c r="H76" s="78">
        <f t="shared" si="1"/>
        <v>7.9449999999999993E-2</v>
      </c>
      <c r="I76" s="79"/>
      <c r="J76" s="162"/>
      <c r="K76" s="131"/>
      <c r="L76" s="139"/>
      <c r="M76" s="80"/>
      <c r="N76" s="163">
        <v>1</v>
      </c>
      <c r="O76" s="128"/>
      <c r="P76" s="129">
        <f>IF(O73&lt;&gt;0,ROUND((O73/$I73)*$H76,5),ROUND((N$10/$I$85)*$H76*N76,5))</f>
        <v>2.0300000000000001E-3</v>
      </c>
      <c r="Q76" s="83"/>
    </row>
    <row r="77" spans="1:17" x14ac:dyDescent="0.25">
      <c r="A77" s="75">
        <f t="shared" si="7"/>
        <v>71</v>
      </c>
      <c r="B77" s="76"/>
      <c r="C77" s="77" t="s">
        <v>48</v>
      </c>
      <c r="D77" s="131">
        <v>1303638.2052591417</v>
      </c>
      <c r="E77" s="78">
        <v>5.2629999999999996E-2</v>
      </c>
      <c r="F77" s="78">
        <v>0</v>
      </c>
      <c r="G77" s="78">
        <v>-3.3999999999999992E-4</v>
      </c>
      <c r="H77" s="78">
        <f t="shared" si="1"/>
        <v>5.2969999999999996E-2</v>
      </c>
      <c r="I77" s="79"/>
      <c r="J77" s="162"/>
      <c r="K77" s="131"/>
      <c r="L77" s="139"/>
      <c r="M77" s="80"/>
      <c r="N77" s="163">
        <v>1</v>
      </c>
      <c r="O77" s="128"/>
      <c r="P77" s="129">
        <f>IF(O73&lt;&gt;0,ROUND((O73/$I73)*$H77,5),ROUND((N$10/$I$85)*$H77*N77,5))</f>
        <v>1.3500000000000001E-3</v>
      </c>
      <c r="Q77" s="83"/>
    </row>
    <row r="78" spans="1:17" x14ac:dyDescent="0.25">
      <c r="A78" s="75">
        <f t="shared" si="7"/>
        <v>72</v>
      </c>
      <c r="B78" s="122"/>
      <c r="C78" s="85" t="s">
        <v>49</v>
      </c>
      <c r="D78" s="132">
        <v>0</v>
      </c>
      <c r="E78" s="86">
        <v>1.9729999999999998E-2</v>
      </c>
      <c r="F78" s="86">
        <v>0</v>
      </c>
      <c r="G78" s="86">
        <v>-1.3000000000000002E-4</v>
      </c>
      <c r="H78" s="86">
        <f>+E78-F78-G78</f>
        <v>1.9859999999999999E-2</v>
      </c>
      <c r="I78" s="87"/>
      <c r="J78" s="164"/>
      <c r="K78" s="132"/>
      <c r="L78" s="154"/>
      <c r="M78" s="88"/>
      <c r="N78" s="161">
        <v>1</v>
      </c>
      <c r="O78" s="89"/>
      <c r="P78" s="90">
        <f>IF(O73&lt;&gt;0,ROUND((O73/$I73)*$H78,5),ROUND((N$10/$I$85)*$H78*N78,5))</f>
        <v>5.1000000000000004E-4</v>
      </c>
      <c r="Q78" s="83"/>
    </row>
    <row r="79" spans="1:17" x14ac:dyDescent="0.25">
      <c r="A79" s="75">
        <f t="shared" si="7"/>
        <v>73</v>
      </c>
      <c r="B79" s="119" t="s">
        <v>104</v>
      </c>
      <c r="C79" s="119" t="s">
        <v>96</v>
      </c>
      <c r="D79" s="1">
        <v>0</v>
      </c>
      <c r="E79" s="86">
        <v>5.7799999999999995E-3</v>
      </c>
      <c r="F79" s="86">
        <v>0</v>
      </c>
      <c r="G79" s="86">
        <v>8.7000000000000001E-4</v>
      </c>
      <c r="H79" s="86">
        <f>+E79-F79-G79</f>
        <v>4.9099999999999994E-3</v>
      </c>
      <c r="I79" s="121"/>
      <c r="J79" s="160">
        <v>38000</v>
      </c>
      <c r="K79" s="1"/>
      <c r="L79" s="154">
        <f>ROUND(I79+(J79*K79*12),0)</f>
        <v>0</v>
      </c>
      <c r="M79" s="133"/>
      <c r="N79" s="170">
        <v>1</v>
      </c>
      <c r="O79" s="89">
        <f>ROUND(+$N$10*(($L79*N79)/L$85),0)</f>
        <v>0</v>
      </c>
      <c r="P79" s="134">
        <f>IF(O79&lt;&gt;0,ROUND((O79/$I79)*$H79,5),ROUND((0.0250424981768783)*$H79*N79,5))</f>
        <v>1.2E-4</v>
      </c>
      <c r="Q79" s="83"/>
    </row>
    <row r="80" spans="1:17" x14ac:dyDescent="0.25">
      <c r="A80" s="75">
        <f t="shared" si="7"/>
        <v>74</v>
      </c>
      <c r="B80" s="119" t="s">
        <v>105</v>
      </c>
      <c r="C80" s="119" t="s">
        <v>96</v>
      </c>
      <c r="D80" s="1">
        <v>0</v>
      </c>
      <c r="E80" s="86">
        <v>5.2099999999999994E-3</v>
      </c>
      <c r="F80" s="86">
        <v>0</v>
      </c>
      <c r="G80" s="86">
        <v>3.0000000000000003E-4</v>
      </c>
      <c r="H80" s="86">
        <f>+E80-F80-G80</f>
        <v>4.9099999999999994E-3</v>
      </c>
      <c r="I80" s="1"/>
      <c r="J80" s="162">
        <v>38000</v>
      </c>
      <c r="K80" s="1"/>
      <c r="L80" s="154">
        <f>ROUND(I80+(J80*K80*12),0)</f>
        <v>0</v>
      </c>
      <c r="M80" s="88"/>
      <c r="N80" s="161">
        <v>1</v>
      </c>
      <c r="O80" s="89">
        <f>ROUND(+$N$10*(($L80*N80)/L$85),0)</f>
        <v>0</v>
      </c>
      <c r="P80" s="90">
        <f>IF(O80&lt;&gt;0,ROUND((O80/$I80)*$H80,5),ROUND((N$10/$I$85)*$H80*N80,5))</f>
        <v>1.2E-4</v>
      </c>
      <c r="Q80" s="83"/>
    </row>
    <row r="81" spans="1:16" ht="15.75" thickBot="1" x14ac:dyDescent="0.3">
      <c r="A81" s="75">
        <f t="shared" si="7"/>
        <v>75</v>
      </c>
      <c r="B81" s="135" t="s">
        <v>106</v>
      </c>
      <c r="C81" s="135" t="s">
        <v>96</v>
      </c>
      <c r="D81" s="2">
        <v>0</v>
      </c>
      <c r="E81" s="2">
        <v>0</v>
      </c>
      <c r="F81" s="2">
        <v>0</v>
      </c>
      <c r="G81" s="2">
        <v>0</v>
      </c>
      <c r="H81" s="2"/>
      <c r="I81" s="2"/>
      <c r="J81" s="2">
        <v>0</v>
      </c>
      <c r="K81" s="2"/>
      <c r="L81" s="2"/>
      <c r="M81" s="88"/>
      <c r="N81" s="161"/>
      <c r="O81" s="89"/>
      <c r="P81" s="90"/>
    </row>
    <row r="82" spans="1:16" x14ac:dyDescent="0.25">
      <c r="A82" s="75">
        <f t="shared" si="7"/>
        <v>76</v>
      </c>
      <c r="B82" s="136"/>
      <c r="C82" s="136"/>
      <c r="D82" s="3">
        <v>0</v>
      </c>
      <c r="E82" s="3"/>
      <c r="F82" s="3"/>
      <c r="G82" s="3"/>
      <c r="H82" s="3"/>
      <c r="I82" s="3"/>
      <c r="J82" s="3"/>
      <c r="K82" s="3"/>
      <c r="L82" s="3"/>
      <c r="M82" s="88"/>
      <c r="N82" s="161"/>
      <c r="O82" s="89"/>
      <c r="P82" s="90"/>
    </row>
    <row r="83" spans="1:16" x14ac:dyDescent="0.25">
      <c r="A83" s="75">
        <f t="shared" si="7"/>
        <v>77</v>
      </c>
      <c r="B83" s="137" t="s">
        <v>57</v>
      </c>
      <c r="C83" s="136"/>
      <c r="D83" s="3">
        <v>0</v>
      </c>
      <c r="E83" s="3"/>
      <c r="F83" s="3"/>
      <c r="G83" s="3"/>
      <c r="H83" s="3"/>
      <c r="I83" s="3"/>
      <c r="J83" s="3"/>
      <c r="K83" s="3"/>
      <c r="L83" s="3"/>
      <c r="M83" s="88"/>
      <c r="N83" s="161"/>
      <c r="O83" s="89"/>
      <c r="P83" s="90"/>
    </row>
    <row r="84" spans="1:16" x14ac:dyDescent="0.25">
      <c r="A84" s="75">
        <f t="shared" si="7"/>
        <v>78</v>
      </c>
      <c r="E84" s="171"/>
      <c r="F84" s="171"/>
      <c r="G84" s="171"/>
      <c r="H84" s="171"/>
      <c r="I84" s="157"/>
      <c r="L84" s="157"/>
      <c r="N84" s="172"/>
      <c r="O84" s="84"/>
    </row>
    <row r="85" spans="1:16" x14ac:dyDescent="0.25">
      <c r="A85" s="75">
        <f t="shared" si="7"/>
        <v>79</v>
      </c>
      <c r="B85" s="84" t="s">
        <v>58</v>
      </c>
      <c r="D85" s="138">
        <f>SUM(D13:D84)</f>
        <v>107792550.45276001</v>
      </c>
      <c r="E85" s="171"/>
      <c r="F85" s="171"/>
      <c r="G85" s="171"/>
      <c r="H85" s="171"/>
      <c r="I85" s="139">
        <f>SUM(I13:I83)</f>
        <v>49600363</v>
      </c>
      <c r="J85" s="138"/>
      <c r="K85" s="138"/>
      <c r="L85" s="139">
        <f>SUM(L13:L83)</f>
        <v>60983329</v>
      </c>
      <c r="N85" s="140"/>
      <c r="O85" s="140">
        <f>SUM(O13:O84)</f>
        <v>1242116</v>
      </c>
    </row>
    <row r="86" spans="1:16" x14ac:dyDescent="0.25">
      <c r="A86" s="75">
        <f t="shared" si="7"/>
        <v>80</v>
      </c>
      <c r="M86" s="138"/>
      <c r="N86" s="173"/>
      <c r="O86" s="84"/>
    </row>
    <row r="87" spans="1:16" ht="15.75" thickBot="1" x14ac:dyDescent="0.3">
      <c r="A87" s="75">
        <f t="shared" si="7"/>
        <v>81</v>
      </c>
      <c r="B87" s="141" t="s">
        <v>59</v>
      </c>
      <c r="N87" s="84"/>
      <c r="O87" s="84"/>
    </row>
    <row r="88" spans="1:16" ht="15.75" thickBot="1" x14ac:dyDescent="0.3">
      <c r="A88" s="75">
        <f t="shared" si="7"/>
        <v>82</v>
      </c>
      <c r="B88" s="142" t="s">
        <v>60</v>
      </c>
      <c r="C88" s="143"/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4" t="s">
        <v>114</v>
      </c>
      <c r="O88" s="143"/>
      <c r="P88" s="145"/>
    </row>
    <row r="89" spans="1:16" x14ac:dyDescent="0.25">
      <c r="A89" s="75">
        <f t="shared" si="7"/>
        <v>83</v>
      </c>
    </row>
    <row r="90" spans="1:16" x14ac:dyDescent="0.25">
      <c r="A90" s="75">
        <f t="shared" si="7"/>
        <v>84</v>
      </c>
      <c r="B90" s="84" t="s">
        <v>61</v>
      </c>
    </row>
    <row r="94" spans="1:16" x14ac:dyDescent="0.25">
      <c r="N94" s="75"/>
      <c r="O94" s="146"/>
    </row>
    <row r="95" spans="1:16" x14ac:dyDescent="0.25">
      <c r="N95" s="75"/>
      <c r="O95" s="146"/>
    </row>
    <row r="96" spans="1:16" x14ac:dyDescent="0.25">
      <c r="N96" s="75"/>
      <c r="O96" s="146"/>
    </row>
    <row r="97" spans="14:15" x14ac:dyDescent="0.25">
      <c r="N97" s="75"/>
      <c r="O97" s="146"/>
    </row>
    <row r="98" spans="14:15" x14ac:dyDescent="0.25">
      <c r="N98" s="75"/>
      <c r="O98" s="146"/>
    </row>
    <row r="99" spans="14:15" x14ac:dyDescent="0.25">
      <c r="N99" s="75"/>
      <c r="O99" s="138"/>
    </row>
  </sheetData>
  <mergeCells count="2">
    <mergeCell ref="L11:L12"/>
    <mergeCell ref="N7:P7"/>
  </mergeCells>
  <printOptions horizontalCentered="1" verticalCentered="1"/>
  <pageMargins left="0.25" right="0.25" top="0.25" bottom="0.25" header="0.3" footer="0.3"/>
  <pageSetup scale="43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1CABB-3853-4F49-B143-F8841A2AB8A2}">
  <sheetPr>
    <tabColor rgb="FF92D050"/>
    <pageSetUpPr fitToPage="1"/>
  </sheetPr>
  <dimension ref="A1:P102"/>
  <sheetViews>
    <sheetView showGridLines="0" zoomScaleNormal="100" zoomScaleSheetLayoutView="100" workbookViewId="0">
      <selection activeCell="Q12" sqref="Q12"/>
    </sheetView>
  </sheetViews>
  <sheetFormatPr defaultColWidth="9.33203125" defaultRowHeight="15" x14ac:dyDescent="0.25"/>
  <cols>
    <col min="1" max="1" width="6.83203125" style="5" customWidth="1"/>
    <col min="2" max="2" width="17.83203125" style="5" customWidth="1"/>
    <col min="3" max="3" width="9.33203125" style="5"/>
    <col min="4" max="4" width="16.5" style="5" bestFit="1" customWidth="1"/>
    <col min="5" max="5" width="15.5" style="5" bestFit="1" customWidth="1"/>
    <col min="6" max="6" width="13.6640625" style="6" customWidth="1"/>
    <col min="7" max="7" width="13.5" style="5" customWidth="1"/>
    <col min="8" max="8" width="13" style="5" customWidth="1"/>
    <col min="9" max="9" width="14.83203125" style="5" customWidth="1"/>
    <col min="10" max="12" width="15.5" style="5" customWidth="1"/>
    <col min="13" max="13" width="17.6640625" style="5" customWidth="1"/>
    <col min="14" max="14" width="9.33203125" style="5"/>
    <col min="15" max="15" width="12.1640625" style="5" bestFit="1" customWidth="1"/>
    <col min="16" max="16" width="11.6640625" style="5" bestFit="1" customWidth="1"/>
    <col min="17" max="16384" width="9.33203125" style="5"/>
  </cols>
  <sheetData>
    <row r="1" spans="1:15" x14ac:dyDescent="0.25">
      <c r="A1" s="4" t="s">
        <v>82</v>
      </c>
    </row>
    <row r="2" spans="1:15" x14ac:dyDescent="0.25">
      <c r="A2" s="4" t="s">
        <v>83</v>
      </c>
    </row>
    <row r="3" spans="1:15" x14ac:dyDescent="0.25">
      <c r="A3" s="4" t="s">
        <v>111</v>
      </c>
      <c r="I3" s="7"/>
      <c r="J3" s="8"/>
      <c r="K3" s="8"/>
      <c r="L3" s="9"/>
      <c r="M3" s="9"/>
    </row>
    <row r="4" spans="1:15" x14ac:dyDescent="0.25">
      <c r="A4" s="4" t="s">
        <v>94</v>
      </c>
    </row>
    <row r="5" spans="1:15" x14ac:dyDescent="0.25">
      <c r="A5" s="10" t="s">
        <v>62</v>
      </c>
      <c r="G5" s="11"/>
      <c r="H5" s="11"/>
      <c r="I5" s="11"/>
      <c r="J5" s="12"/>
      <c r="K5" s="12"/>
      <c r="L5" s="13"/>
      <c r="M5" s="13"/>
    </row>
    <row r="6" spans="1:15" ht="15.75" thickBot="1" x14ac:dyDescent="0.3">
      <c r="J6" s="13"/>
      <c r="K6" s="13"/>
      <c r="L6" s="13"/>
      <c r="M6" s="13"/>
    </row>
    <row r="7" spans="1:15" x14ac:dyDescent="0.25">
      <c r="A7" s="14">
        <v>1</v>
      </c>
      <c r="D7" s="14"/>
      <c r="F7" s="15" t="s">
        <v>63</v>
      </c>
      <c r="H7" s="14" t="str">
        <f>'Allocation = % of margin'!E7</f>
        <v>Current</v>
      </c>
      <c r="I7" s="16" t="s">
        <v>64</v>
      </c>
      <c r="J7" s="16" t="s">
        <v>64</v>
      </c>
      <c r="K7" s="16" t="s">
        <v>65</v>
      </c>
      <c r="L7" s="16" t="s">
        <v>65</v>
      </c>
      <c r="M7" s="17" t="s">
        <v>65</v>
      </c>
    </row>
    <row r="8" spans="1:15" x14ac:dyDescent="0.25">
      <c r="A8" s="14">
        <f t="shared" ref="A8:A74" si="0">+A7+1</f>
        <v>2</v>
      </c>
      <c r="D8" s="14"/>
      <c r="E8" s="16"/>
      <c r="F8" s="15" t="s">
        <v>66</v>
      </c>
      <c r="G8" s="14" t="s">
        <v>67</v>
      </c>
      <c r="H8" s="16" t="str">
        <f>'Allocation = % of margin'!E8</f>
        <v>Billing</v>
      </c>
      <c r="I8" s="16" t="s">
        <v>88</v>
      </c>
      <c r="J8" s="16">
        <f>'Allocation = % of margin'!G10</f>
        <v>44866</v>
      </c>
      <c r="K8" s="16">
        <v>45231</v>
      </c>
      <c r="L8" s="16">
        <f>K8</f>
        <v>45231</v>
      </c>
      <c r="M8" s="18">
        <f>L8</f>
        <v>45231</v>
      </c>
    </row>
    <row r="9" spans="1:15" x14ac:dyDescent="0.25">
      <c r="A9" s="14">
        <f t="shared" si="0"/>
        <v>3</v>
      </c>
      <c r="D9" s="14" t="s">
        <v>95</v>
      </c>
      <c r="E9" s="14" t="s">
        <v>68</v>
      </c>
      <c r="F9" s="19" t="s">
        <v>69</v>
      </c>
      <c r="G9" s="14" t="s">
        <v>69</v>
      </c>
      <c r="H9" s="14" t="str">
        <f>'Allocation = % of margin'!E9</f>
        <v>Rate</v>
      </c>
      <c r="I9" s="14" t="s">
        <v>87</v>
      </c>
      <c r="J9" s="72" t="s">
        <v>112</v>
      </c>
      <c r="K9" s="73" t="s">
        <v>112</v>
      </c>
      <c r="L9" s="72" t="s">
        <v>112</v>
      </c>
      <c r="M9" s="74" t="s">
        <v>112</v>
      </c>
    </row>
    <row r="10" spans="1:15" s="24" customFormat="1" ht="15.75" thickBot="1" x14ac:dyDescent="0.3">
      <c r="A10" s="14">
        <f t="shared" si="0"/>
        <v>4</v>
      </c>
      <c r="B10" s="5"/>
      <c r="C10" s="5"/>
      <c r="D10" s="20" t="s">
        <v>84</v>
      </c>
      <c r="E10" s="20" t="s">
        <v>22</v>
      </c>
      <c r="F10" s="21" t="s">
        <v>86</v>
      </c>
      <c r="G10" s="20" t="s">
        <v>13</v>
      </c>
      <c r="H10" s="22">
        <f>'Allocation = % of margin'!E10</f>
        <v>44866</v>
      </c>
      <c r="I10" s="22">
        <f>H10</f>
        <v>44866</v>
      </c>
      <c r="J10" s="20" t="s">
        <v>70</v>
      </c>
      <c r="K10" s="20" t="s">
        <v>70</v>
      </c>
      <c r="L10" s="20" t="s">
        <v>71</v>
      </c>
      <c r="M10" s="23" t="s">
        <v>72</v>
      </c>
    </row>
    <row r="11" spans="1:15" s="24" customFormat="1" x14ac:dyDescent="0.25">
      <c r="A11" s="14">
        <f t="shared" si="0"/>
        <v>5</v>
      </c>
      <c r="B11" s="5"/>
      <c r="C11" s="5"/>
      <c r="F11" s="25"/>
      <c r="I11" s="26" t="s">
        <v>73</v>
      </c>
      <c r="J11" s="11"/>
      <c r="K11" s="11" t="s">
        <v>89</v>
      </c>
      <c r="L11" s="11" t="s">
        <v>92</v>
      </c>
      <c r="M11" s="27" t="s">
        <v>93</v>
      </c>
    </row>
    <row r="12" spans="1:15" s="24" customFormat="1" x14ac:dyDescent="0.25">
      <c r="A12" s="14">
        <f t="shared" si="0"/>
        <v>6</v>
      </c>
      <c r="B12" s="14" t="s">
        <v>21</v>
      </c>
      <c r="C12" s="14" t="s">
        <v>22</v>
      </c>
      <c r="D12" s="28" t="s">
        <v>23</v>
      </c>
      <c r="E12" s="28" t="s">
        <v>24</v>
      </c>
      <c r="F12" s="29" t="s">
        <v>25</v>
      </c>
      <c r="G12" s="28" t="s">
        <v>26</v>
      </c>
      <c r="H12" s="28" t="s">
        <v>27</v>
      </c>
      <c r="I12" s="28" t="s">
        <v>74</v>
      </c>
      <c r="J12" s="28" t="s">
        <v>29</v>
      </c>
      <c r="K12" s="28" t="s">
        <v>30</v>
      </c>
      <c r="L12" s="28" t="s">
        <v>91</v>
      </c>
      <c r="M12" s="30" t="s">
        <v>109</v>
      </c>
    </row>
    <row r="13" spans="1:15" x14ac:dyDescent="0.25">
      <c r="A13" s="14">
        <f t="shared" si="0"/>
        <v>7</v>
      </c>
      <c r="B13" s="31" t="s">
        <v>34</v>
      </c>
      <c r="C13" s="31"/>
      <c r="D13" s="32">
        <f>'Allocation = % of margin'!D13</f>
        <v>318916</v>
      </c>
      <c r="E13" s="33" t="s">
        <v>75</v>
      </c>
      <c r="F13" s="34">
        <v>16</v>
      </c>
      <c r="G13" s="35">
        <f>'Allocation = % of margin'!J13</f>
        <v>5.5</v>
      </c>
      <c r="H13" s="36">
        <f>'Allocation = % of margin'!E13</f>
        <v>1.5919000000000005</v>
      </c>
      <c r="I13" s="37">
        <f>ROUND(+$G13+(H13*$F13),2)</f>
        <v>30.97</v>
      </c>
      <c r="J13" s="36">
        <v>0</v>
      </c>
      <c r="K13" s="36">
        <f>'Allocation = % of margin'!P13+H13-J13</f>
        <v>1.6160900000000005</v>
      </c>
      <c r="L13" s="38">
        <f>G13+(F13*K13)</f>
        <v>31.357440000000008</v>
      </c>
      <c r="M13" s="39">
        <f>(L13-I13)/I13</f>
        <v>1.251017113335514E-2</v>
      </c>
    </row>
    <row r="14" spans="1:15" x14ac:dyDescent="0.25">
      <c r="A14" s="14">
        <f t="shared" si="0"/>
        <v>8</v>
      </c>
      <c r="B14" s="31" t="s">
        <v>35</v>
      </c>
      <c r="C14" s="31"/>
      <c r="D14" s="32">
        <f>'Allocation = % of margin'!D14</f>
        <v>22569.3</v>
      </c>
      <c r="E14" s="33" t="s">
        <v>75</v>
      </c>
      <c r="F14" s="34">
        <v>51</v>
      </c>
      <c r="G14" s="35">
        <f>'Allocation = % of margin'!J14</f>
        <v>7</v>
      </c>
      <c r="H14" s="36">
        <f>'Allocation = % of margin'!E14</f>
        <v>1.6060099999999995</v>
      </c>
      <c r="I14" s="37">
        <f>ROUND(+$G14+(H14*$F14),2)</f>
        <v>88.91</v>
      </c>
      <c r="J14" s="36">
        <v>0</v>
      </c>
      <c r="K14" s="36">
        <f>'Allocation = % of margin'!P14+H14-J14</f>
        <v>1.6264799999999995</v>
      </c>
      <c r="L14" s="38">
        <f t="shared" ref="L14:L18" si="1">G14+(F14*K14)</f>
        <v>89.95047999999997</v>
      </c>
      <c r="M14" s="39">
        <f t="shared" ref="M14:M18" si="2">(L14-I14)/I14</f>
        <v>1.1702620627600651E-2</v>
      </c>
    </row>
    <row r="15" spans="1:15" x14ac:dyDescent="0.25">
      <c r="A15" s="14">
        <f t="shared" si="0"/>
        <v>9</v>
      </c>
      <c r="B15" s="31" t="s">
        <v>36</v>
      </c>
      <c r="C15" s="31"/>
      <c r="D15" s="32">
        <f>'Allocation = % of margin'!D15</f>
        <v>60471175.100000001</v>
      </c>
      <c r="E15" s="33" t="s">
        <v>75</v>
      </c>
      <c r="F15" s="34">
        <v>58</v>
      </c>
      <c r="G15" s="35">
        <f>'Allocation = % of margin'!J15</f>
        <v>8</v>
      </c>
      <c r="H15" s="36">
        <f>'Allocation = % of margin'!E15</f>
        <v>1.2801600000000002</v>
      </c>
      <c r="I15" s="37">
        <f t="shared" ref="I15:I18" si="3">ROUND(+$G15+(H15*$F15),2)</f>
        <v>82.25</v>
      </c>
      <c r="J15" s="36">
        <v>0</v>
      </c>
      <c r="K15" s="36">
        <f>'Allocation = % of margin'!P15+H15-J15</f>
        <v>1.2944300000000002</v>
      </c>
      <c r="L15" s="38">
        <f t="shared" si="1"/>
        <v>83.076940000000008</v>
      </c>
      <c r="M15" s="39">
        <f t="shared" si="2"/>
        <v>1.0053981762918026E-2</v>
      </c>
      <c r="N15" s="9"/>
    </row>
    <row r="16" spans="1:15" x14ac:dyDescent="0.25">
      <c r="A16" s="14">
        <f t="shared" si="0"/>
        <v>10</v>
      </c>
      <c r="B16" s="31" t="s">
        <v>37</v>
      </c>
      <c r="C16" s="31"/>
      <c r="D16" s="32">
        <f>'Allocation = % of margin'!D16</f>
        <v>19986400</v>
      </c>
      <c r="E16" s="33" t="s">
        <v>75</v>
      </c>
      <c r="F16" s="34">
        <v>249</v>
      </c>
      <c r="G16" s="35">
        <f>'Allocation = % of margin'!J16</f>
        <v>22</v>
      </c>
      <c r="H16" s="36">
        <f>'Allocation = % of margin'!E16</f>
        <v>1.2503800000000003</v>
      </c>
      <c r="I16" s="37">
        <f t="shared" si="3"/>
        <v>333.34</v>
      </c>
      <c r="J16" s="36">
        <v>0</v>
      </c>
      <c r="K16" s="36">
        <f>'Allocation = % of margin'!P16+H16-J16</f>
        <v>1.2631100000000002</v>
      </c>
      <c r="L16" s="38">
        <f t="shared" si="1"/>
        <v>336.51439000000005</v>
      </c>
      <c r="M16" s="39">
        <f t="shared" si="2"/>
        <v>9.5229795404094125E-3</v>
      </c>
      <c r="N16" s="9"/>
      <c r="O16" s="9"/>
    </row>
    <row r="17" spans="1:16" x14ac:dyDescent="0.25">
      <c r="A17" s="14">
        <f t="shared" si="0"/>
        <v>11</v>
      </c>
      <c r="B17" s="31" t="s">
        <v>38</v>
      </c>
      <c r="C17" s="31"/>
      <c r="D17" s="32">
        <f>'Allocation = % of margin'!D17</f>
        <v>277642.16352</v>
      </c>
      <c r="E17" s="33" t="s">
        <v>75</v>
      </c>
      <c r="F17" s="34">
        <v>1218</v>
      </c>
      <c r="G17" s="35">
        <f>'Allocation = % of margin'!J17</f>
        <v>22</v>
      </c>
      <c r="H17" s="36">
        <f>'Allocation = % of margin'!E17</f>
        <v>1.2289899999999998</v>
      </c>
      <c r="I17" s="37">
        <f t="shared" si="3"/>
        <v>1518.91</v>
      </c>
      <c r="J17" s="36">
        <v>0</v>
      </c>
      <c r="K17" s="36">
        <f>'Allocation = % of margin'!P17+H17-J17</f>
        <v>1.2404899999999999</v>
      </c>
      <c r="L17" s="38">
        <f t="shared" si="1"/>
        <v>1532.9168199999999</v>
      </c>
      <c r="M17" s="39">
        <f t="shared" si="2"/>
        <v>9.2216260344588109E-3</v>
      </c>
    </row>
    <row r="18" spans="1:16" x14ac:dyDescent="0.25">
      <c r="A18" s="14">
        <f t="shared" si="0"/>
        <v>12</v>
      </c>
      <c r="B18" s="40">
        <v>27</v>
      </c>
      <c r="C18" s="40"/>
      <c r="D18" s="32">
        <f>'Allocation = % of margin'!D18</f>
        <v>80869.600000000006</v>
      </c>
      <c r="E18" s="33" t="s">
        <v>75</v>
      </c>
      <c r="F18" s="34">
        <v>23</v>
      </c>
      <c r="G18" s="35">
        <f>'Allocation = % of margin'!J18</f>
        <v>9</v>
      </c>
      <c r="H18" s="36">
        <f>'Allocation = % of margin'!E18</f>
        <v>1.0206200000000001</v>
      </c>
      <c r="I18" s="37">
        <f t="shared" si="3"/>
        <v>32.47</v>
      </c>
      <c r="J18" s="36">
        <v>0</v>
      </c>
      <c r="K18" s="36">
        <f>'Allocation = % of margin'!P18+H18-J18</f>
        <v>1.03505</v>
      </c>
      <c r="L18" s="38">
        <f t="shared" si="1"/>
        <v>32.806150000000002</v>
      </c>
      <c r="M18" s="39">
        <f t="shared" si="2"/>
        <v>1.0352633199876917E-2</v>
      </c>
    </row>
    <row r="19" spans="1:16" x14ac:dyDescent="0.25">
      <c r="A19" s="14">
        <f t="shared" si="0"/>
        <v>13</v>
      </c>
      <c r="B19" s="14" t="s">
        <v>39</v>
      </c>
      <c r="C19" s="41" t="s">
        <v>40</v>
      </c>
      <c r="D19" s="42">
        <f>'Allocation = % of margin'!D19</f>
        <v>1570103</v>
      </c>
      <c r="E19" s="43">
        <v>2000</v>
      </c>
      <c r="F19" s="44">
        <v>3712</v>
      </c>
      <c r="G19" s="45">
        <f>'Allocation = % of margin'!J19</f>
        <v>250</v>
      </c>
      <c r="H19" s="8">
        <f>'Allocation = % of margin'!E19</f>
        <v>1.0366700000000002</v>
      </c>
      <c r="I19" s="9"/>
      <c r="J19" s="8">
        <v>0</v>
      </c>
      <c r="K19" s="8">
        <f>'Allocation = % of margin'!P19+H19-J19</f>
        <v>1.0466700000000002</v>
      </c>
      <c r="L19" s="9"/>
      <c r="M19" s="46"/>
    </row>
    <row r="20" spans="1:16" x14ac:dyDescent="0.25">
      <c r="A20" s="14">
        <f t="shared" si="0"/>
        <v>14</v>
      </c>
      <c r="B20" s="14"/>
      <c r="C20" s="41" t="s">
        <v>41</v>
      </c>
      <c r="D20" s="42">
        <f>'Allocation = % of margin'!D20</f>
        <v>2126826.5</v>
      </c>
      <c r="E20" s="43" t="s">
        <v>76</v>
      </c>
      <c r="F20" s="44"/>
      <c r="G20" s="9"/>
      <c r="H20" s="8">
        <f>'Allocation = % of margin'!E20</f>
        <v>0.98319999999999985</v>
      </c>
      <c r="I20" s="9"/>
      <c r="J20" s="8">
        <v>0</v>
      </c>
      <c r="K20" s="8">
        <f>'Allocation = % of margin'!P20+H20-J20</f>
        <v>0.99200999999999984</v>
      </c>
      <c r="L20" s="9"/>
      <c r="M20" s="46"/>
    </row>
    <row r="21" spans="1:16" x14ac:dyDescent="0.25">
      <c r="A21" s="14">
        <f t="shared" si="0"/>
        <v>15</v>
      </c>
      <c r="B21" s="40"/>
      <c r="C21" s="47" t="s">
        <v>77</v>
      </c>
      <c r="D21" s="48"/>
      <c r="E21" s="49"/>
      <c r="F21" s="50"/>
      <c r="G21" s="38"/>
      <c r="H21" s="51"/>
      <c r="I21" s="37">
        <f>$G19+ROUND(IF($F19&lt;$E19,($F19*H19),IF($F19&gt;SUM($E19:$E20),(($E19*H19)+(($F19-$E19)*H20)),0)),2)</f>
        <v>4006.58</v>
      </c>
      <c r="J21" s="51"/>
      <c r="K21" s="51"/>
      <c r="L21" s="38">
        <f>$G19+ROUND(IF($F19&lt;$E19,($F19*K19),IF($F19&gt;SUM($E19:$E20),(($E19*K19)+(($F19-$E19)*K20)),0)),2)</f>
        <v>4041.66</v>
      </c>
      <c r="M21" s="39">
        <f>(L21-I21)/I21</f>
        <v>8.7555970428644693E-3</v>
      </c>
    </row>
    <row r="22" spans="1:16" x14ac:dyDescent="0.25">
      <c r="A22" s="14">
        <f t="shared" si="0"/>
        <v>16</v>
      </c>
      <c r="B22" s="14" t="s">
        <v>43</v>
      </c>
      <c r="C22" s="41" t="s">
        <v>40</v>
      </c>
      <c r="D22" s="42">
        <f>'Allocation = % of margin'!D21</f>
        <v>405389.26339126914</v>
      </c>
      <c r="E22" s="43">
        <v>2000</v>
      </c>
      <c r="F22" s="44">
        <v>4578</v>
      </c>
      <c r="G22" s="45">
        <f>'Allocation = % of margin'!J21</f>
        <v>250</v>
      </c>
      <c r="H22" s="8">
        <f>'Allocation = % of margin'!E21</f>
        <v>0.96687000000000034</v>
      </c>
      <c r="I22" s="9"/>
      <c r="J22" s="8">
        <v>0</v>
      </c>
      <c r="K22" s="8">
        <f>'Allocation = % of margin'!P21+H22-J22</f>
        <v>0.97565000000000035</v>
      </c>
      <c r="L22" s="9"/>
      <c r="M22" s="46"/>
      <c r="P22" s="8"/>
    </row>
    <row r="23" spans="1:16" x14ac:dyDescent="0.25">
      <c r="A23" s="14">
        <f t="shared" si="0"/>
        <v>17</v>
      </c>
      <c r="B23" s="14"/>
      <c r="C23" s="41" t="s">
        <v>41</v>
      </c>
      <c r="D23" s="42">
        <f>'Allocation = % of margin'!D22</f>
        <v>803152.63660873112</v>
      </c>
      <c r="E23" s="43" t="s">
        <v>76</v>
      </c>
      <c r="F23" s="44"/>
      <c r="G23" s="9"/>
      <c r="H23" s="8">
        <f>'Allocation = % of margin'!E22</f>
        <v>0.92169999999999985</v>
      </c>
      <c r="I23" s="9"/>
      <c r="J23" s="8">
        <v>0</v>
      </c>
      <c r="K23" s="8">
        <f>'Allocation = % of margin'!P22+H23-J23</f>
        <v>0.92943999999999982</v>
      </c>
      <c r="L23" s="9"/>
      <c r="M23" s="46"/>
      <c r="P23" s="8"/>
    </row>
    <row r="24" spans="1:16" x14ac:dyDescent="0.25">
      <c r="A24" s="14">
        <f t="shared" si="0"/>
        <v>18</v>
      </c>
      <c r="B24" s="40"/>
      <c r="C24" s="47" t="s">
        <v>77</v>
      </c>
      <c r="D24" s="48"/>
      <c r="E24" s="49"/>
      <c r="F24" s="50"/>
      <c r="G24" s="38"/>
      <c r="H24" s="51"/>
      <c r="I24" s="37">
        <f>$G22+ROUND(IF($F22&lt;$E22,($F22*H22),IF($F22&gt;SUM($E22:$E23),(($E22*H22)+(($F22-$E22)*H23)),0)),2)</f>
        <v>4559.88</v>
      </c>
      <c r="J24" s="51"/>
      <c r="K24" s="51"/>
      <c r="L24" s="38">
        <f>$G22+ROUND(IF($F22&lt;$E22,($F22*K22),IF($F22&gt;SUM($E22:$E23),(($E22*K22)+(($F22-$E22)*K23)),0)),2)</f>
        <v>4597.3999999999996</v>
      </c>
      <c r="M24" s="39">
        <f>(L24-I24)/I24</f>
        <v>8.228286709299263E-3</v>
      </c>
      <c r="P24" s="8"/>
    </row>
    <row r="25" spans="1:16" x14ac:dyDescent="0.25">
      <c r="A25" s="14">
        <f>+A21+1</f>
        <v>16</v>
      </c>
      <c r="B25" s="14" t="s">
        <v>42</v>
      </c>
      <c r="C25" s="41" t="s">
        <v>40</v>
      </c>
      <c r="D25" s="42">
        <f>'Allocation = % of margin'!D23</f>
        <v>0</v>
      </c>
      <c r="E25" s="43">
        <v>2000</v>
      </c>
      <c r="F25" s="44">
        <v>0</v>
      </c>
      <c r="G25" s="45">
        <f>'Allocation = % of margin'!J23</f>
        <v>250</v>
      </c>
      <c r="H25" s="8">
        <f>'Allocation = % of margin'!E23</f>
        <v>1.0149000000000001</v>
      </c>
      <c r="I25" s="9"/>
      <c r="J25" s="8">
        <v>0</v>
      </c>
      <c r="K25" s="8">
        <f>'Allocation = % of margin'!P23+H25-J25</f>
        <v>1.0248700000000002</v>
      </c>
      <c r="L25" s="9"/>
      <c r="M25" s="46"/>
      <c r="P25" s="8"/>
    </row>
    <row r="26" spans="1:16" x14ac:dyDescent="0.25">
      <c r="A26" s="14">
        <f t="shared" si="0"/>
        <v>17</v>
      </c>
      <c r="B26" s="14"/>
      <c r="C26" s="41" t="s">
        <v>41</v>
      </c>
      <c r="D26" s="42">
        <f>'Allocation = % of margin'!D24</f>
        <v>0</v>
      </c>
      <c r="E26" s="43" t="s">
        <v>76</v>
      </c>
      <c r="F26" s="52"/>
      <c r="G26" s="53"/>
      <c r="H26" s="8">
        <f>'Allocation = % of margin'!E24</f>
        <v>0.96392999999999995</v>
      </c>
      <c r="I26" s="9"/>
      <c r="J26" s="8">
        <v>0</v>
      </c>
      <c r="K26" s="8">
        <f>'Allocation = % of margin'!P24+H26-J26</f>
        <v>0.97271999999999992</v>
      </c>
      <c r="L26" s="9"/>
      <c r="M26" s="46"/>
      <c r="P26" s="8"/>
    </row>
    <row r="27" spans="1:16" x14ac:dyDescent="0.25">
      <c r="A27" s="14">
        <f>+A25+1</f>
        <v>17</v>
      </c>
      <c r="B27" s="40"/>
      <c r="C27" s="47" t="s">
        <v>77</v>
      </c>
      <c r="D27" s="48"/>
      <c r="E27" s="49"/>
      <c r="F27" s="50"/>
      <c r="G27" s="38"/>
      <c r="H27" s="51"/>
      <c r="I27" s="37">
        <f>$G25+ROUND(IF($F25&lt;$E25,($F25*H25),IF($F25&gt;SUM($E25:$E25),(($E25*H25)+(($F25-$E25)*H25)),0)),2)</f>
        <v>250</v>
      </c>
      <c r="J27" s="51"/>
      <c r="K27" s="51"/>
      <c r="L27" s="38">
        <f>$G25+ROUND(IF($F25&lt;$E25,($F25*K25),IF($F25&gt;SUM($E25:$E26),(($E25*K25)+(($F25-$E25)*K26)),0)),2)</f>
        <v>250</v>
      </c>
      <c r="M27" s="39">
        <f>(L27-I27)/I27</f>
        <v>0</v>
      </c>
      <c r="P27" s="8"/>
    </row>
    <row r="28" spans="1:16" x14ac:dyDescent="0.25">
      <c r="A28" s="14">
        <f t="shared" si="0"/>
        <v>18</v>
      </c>
      <c r="B28" s="14" t="s">
        <v>44</v>
      </c>
      <c r="C28" s="41" t="s">
        <v>40</v>
      </c>
      <c r="D28" s="42">
        <f>'Allocation = % of margin'!D25</f>
        <v>0</v>
      </c>
      <c r="E28" s="43">
        <v>2000</v>
      </c>
      <c r="F28" s="44">
        <v>0</v>
      </c>
      <c r="G28" s="45">
        <f>'Allocation = % of margin'!J25</f>
        <v>250</v>
      </c>
      <c r="H28" s="8">
        <f>'Allocation = % of margin'!E25</f>
        <v>0.95740000000000003</v>
      </c>
      <c r="I28" s="9"/>
      <c r="J28" s="8">
        <v>0</v>
      </c>
      <c r="K28" s="8">
        <f>'Allocation = % of margin'!P25+H28-J28</f>
        <v>0.96650000000000003</v>
      </c>
      <c r="L28" s="9"/>
      <c r="M28" s="46"/>
      <c r="P28" s="8"/>
    </row>
    <row r="29" spans="1:16" x14ac:dyDescent="0.25">
      <c r="A29" s="14">
        <f t="shared" si="0"/>
        <v>19</v>
      </c>
      <c r="B29" s="14"/>
      <c r="C29" s="41" t="s">
        <v>41</v>
      </c>
      <c r="D29" s="42">
        <f>'Allocation = % of margin'!D26</f>
        <v>0</v>
      </c>
      <c r="E29" s="43" t="s">
        <v>76</v>
      </c>
      <c r="F29" s="44"/>
      <c r="G29" s="9"/>
      <c r="H29" s="8">
        <f>'Allocation = % of margin'!E26</f>
        <v>0.91322999999999999</v>
      </c>
      <c r="I29" s="9"/>
      <c r="J29" s="8">
        <v>0</v>
      </c>
      <c r="K29" s="8">
        <f>'Allocation = % of margin'!P26+H29-J29</f>
        <v>0.92125000000000001</v>
      </c>
      <c r="L29" s="9"/>
      <c r="M29" s="46"/>
      <c r="P29" s="8"/>
    </row>
    <row r="30" spans="1:16" x14ac:dyDescent="0.25">
      <c r="A30" s="14">
        <f t="shared" si="0"/>
        <v>20</v>
      </c>
      <c r="B30" s="40"/>
      <c r="C30" s="47" t="s">
        <v>77</v>
      </c>
      <c r="D30" s="48"/>
      <c r="E30" s="49"/>
      <c r="F30" s="50"/>
      <c r="G30" s="38"/>
      <c r="H30" s="51"/>
      <c r="I30" s="37">
        <f>$G28+ROUND(IF($F28&lt;$E28,($F28*H28),IF($F28&gt;SUM($E28:$E29),(($E28*H28)+(($F28-$E28)*H29)),0)),2)</f>
        <v>250</v>
      </c>
      <c r="J30" s="51"/>
      <c r="K30" s="51"/>
      <c r="L30" s="38">
        <f>$G28+ROUND(IF($F28&lt;$E28,($F28*K28),IF($F28&gt;SUM($E28:$E29),(($E28*K28)+(($F28-$E28)*K29)),0)),2)</f>
        <v>250</v>
      </c>
      <c r="M30" s="39">
        <f>(L30-I30)/I30</f>
        <v>0</v>
      </c>
      <c r="P30" s="8"/>
    </row>
    <row r="31" spans="1:16" x14ac:dyDescent="0.25">
      <c r="A31" s="14">
        <f t="shared" si="0"/>
        <v>21</v>
      </c>
      <c r="B31" s="54" t="s">
        <v>98</v>
      </c>
      <c r="C31" s="41" t="s">
        <v>40</v>
      </c>
      <c r="D31" s="42">
        <f>'Allocation = % of margin'!D27</f>
        <v>148852.71949366332</v>
      </c>
      <c r="E31" s="43">
        <v>2000</v>
      </c>
      <c r="F31" s="44">
        <v>4664</v>
      </c>
      <c r="G31" s="45">
        <f>'Allocation = % of margin'!J27</f>
        <v>500</v>
      </c>
      <c r="H31" s="8">
        <f>'Allocation = % of margin'!E27</f>
        <v>0.38082999999999995</v>
      </c>
      <c r="I31" s="9"/>
      <c r="J31" s="8">
        <v>0</v>
      </c>
      <c r="K31" s="8">
        <f>'Allocation = % of margin'!P27+H31-J31</f>
        <v>0.39091999999999993</v>
      </c>
      <c r="L31" s="9"/>
      <c r="M31" s="46"/>
      <c r="P31" s="8"/>
    </row>
    <row r="32" spans="1:16" x14ac:dyDescent="0.25">
      <c r="A32" s="14">
        <f t="shared" si="0"/>
        <v>22</v>
      </c>
      <c r="B32" s="14"/>
      <c r="C32" s="41" t="s">
        <v>41</v>
      </c>
      <c r="D32" s="42">
        <f>'Allocation = % of margin'!D28</f>
        <v>298848.4950063366</v>
      </c>
      <c r="E32" s="43" t="s">
        <v>76</v>
      </c>
      <c r="F32" s="52"/>
      <c r="G32" s="53"/>
      <c r="H32" s="8">
        <f>'Allocation = % of margin'!E28</f>
        <v>0.33552000000000004</v>
      </c>
      <c r="I32" s="9"/>
      <c r="J32" s="8">
        <v>0</v>
      </c>
      <c r="K32" s="8">
        <f>'Allocation = % of margin'!P28+H32-J32</f>
        <v>0.34441000000000005</v>
      </c>
      <c r="L32" s="9"/>
      <c r="M32" s="46"/>
      <c r="P32" s="8"/>
    </row>
    <row r="33" spans="1:16" x14ac:dyDescent="0.25">
      <c r="A33" s="14">
        <f t="shared" si="0"/>
        <v>23</v>
      </c>
      <c r="B33" s="40"/>
      <c r="C33" s="47" t="s">
        <v>77</v>
      </c>
      <c r="D33" s="48"/>
      <c r="E33" s="49"/>
      <c r="F33" s="50"/>
      <c r="G33" s="38"/>
      <c r="H33" s="51"/>
      <c r="I33" s="37">
        <f>$G31+ROUND(IF($F31&lt;$E31,($F31*H31),IF($F31&gt;SUM($E31:$E32),(($E31*H31)+(($F31-$E31)*H32)),0)),2)</f>
        <v>2155.4899999999998</v>
      </c>
      <c r="J33" s="51"/>
      <c r="K33" s="51"/>
      <c r="L33" s="38">
        <f>$G31+ROUND(IF($F31&lt;$E31,($F31*K31),IF($F31&gt;SUM($E31:$E32),(($E31*K31)+(($F31-$E31)*K32)),0)),2)</f>
        <v>2199.35</v>
      </c>
      <c r="M33" s="39">
        <f>(L33-I33)/I33</f>
        <v>2.0348041512602763E-2</v>
      </c>
      <c r="P33" s="8"/>
    </row>
    <row r="34" spans="1:16" x14ac:dyDescent="0.25">
      <c r="A34" s="14">
        <f t="shared" si="0"/>
        <v>24</v>
      </c>
      <c r="B34" s="54" t="s">
        <v>99</v>
      </c>
      <c r="C34" s="41" t="s">
        <v>40</v>
      </c>
      <c r="D34" s="42">
        <f>'Allocation = % of margin'!D29</f>
        <v>0</v>
      </c>
      <c r="E34" s="43">
        <v>2000</v>
      </c>
      <c r="F34" s="44">
        <v>0</v>
      </c>
      <c r="G34" s="45">
        <f>'Allocation = % of margin'!J29</f>
        <v>500</v>
      </c>
      <c r="H34" s="8">
        <f>'Allocation = % of margin'!E29</f>
        <v>0.37098000000000003</v>
      </c>
      <c r="I34" s="9"/>
      <c r="J34" s="8">
        <v>0</v>
      </c>
      <c r="K34" s="8">
        <f>'Allocation = % of margin'!P29+H34-J34</f>
        <v>0.38019000000000003</v>
      </c>
      <c r="L34" s="9"/>
      <c r="M34" s="46"/>
      <c r="P34" s="8"/>
    </row>
    <row r="35" spans="1:16" x14ac:dyDescent="0.25">
      <c r="A35" s="14">
        <f t="shared" si="0"/>
        <v>25</v>
      </c>
      <c r="B35" s="14"/>
      <c r="C35" s="41" t="s">
        <v>41</v>
      </c>
      <c r="D35" s="42">
        <f>'Allocation = % of margin'!D30</f>
        <v>0</v>
      </c>
      <c r="E35" s="43" t="s">
        <v>76</v>
      </c>
      <c r="F35" s="44"/>
      <c r="G35" s="9"/>
      <c r="H35" s="8">
        <f>'Allocation = % of margin'!E30</f>
        <v>0.3268700000000001</v>
      </c>
      <c r="I35" s="9"/>
      <c r="J35" s="8">
        <v>0</v>
      </c>
      <c r="K35" s="8">
        <f>'Allocation = % of margin'!P30+H35-J35</f>
        <v>0.33499000000000012</v>
      </c>
      <c r="L35" s="9"/>
      <c r="M35" s="46"/>
      <c r="P35" s="8"/>
    </row>
    <row r="36" spans="1:16" x14ac:dyDescent="0.25">
      <c r="A36" s="14">
        <f t="shared" si="0"/>
        <v>26</v>
      </c>
      <c r="B36" s="40"/>
      <c r="C36" s="47" t="s">
        <v>77</v>
      </c>
      <c r="D36" s="48"/>
      <c r="E36" s="49"/>
      <c r="F36" s="50"/>
      <c r="G36" s="38"/>
      <c r="H36" s="51"/>
      <c r="I36" s="37">
        <f>$G34+ROUND(IF($F34&lt;$E34,($F34*H34),IF($F34&gt;SUM($E34:$E35),(($E34*H34)+(($F34-$E34)*H35)),0)),2)</f>
        <v>500</v>
      </c>
      <c r="J36" s="51"/>
      <c r="K36" s="51"/>
      <c r="L36" s="38">
        <f>$G34+ROUND(IF($F34&lt;$E34,($F34*K34),IF($F34&gt;SUM($E34:$E35),(($E34*K34)+(($F34-$E34)*K35)),0)),2)</f>
        <v>500</v>
      </c>
      <c r="M36" s="39">
        <f>(L36-I36)/I36</f>
        <v>0</v>
      </c>
      <c r="P36" s="8"/>
    </row>
    <row r="37" spans="1:16" x14ac:dyDescent="0.25">
      <c r="A37" s="14">
        <f t="shared" si="0"/>
        <v>27</v>
      </c>
      <c r="B37" s="14" t="s">
        <v>45</v>
      </c>
      <c r="C37" s="41" t="s">
        <v>40</v>
      </c>
      <c r="D37" s="42">
        <f>'Allocation = % of margin'!D31</f>
        <v>701174.7</v>
      </c>
      <c r="E37" s="42">
        <v>10000</v>
      </c>
      <c r="F37" s="44">
        <v>17264</v>
      </c>
      <c r="G37" s="45">
        <f>'Allocation = % of margin'!J31</f>
        <v>1300</v>
      </c>
      <c r="H37" s="8">
        <f>'Allocation = % of margin'!E31</f>
        <v>0.80749999999999977</v>
      </c>
      <c r="I37" s="9"/>
      <c r="J37" s="8">
        <v>0</v>
      </c>
      <c r="K37" s="8">
        <f>'Allocation = % of margin'!P31+H37-J37</f>
        <v>0.81343999999999972</v>
      </c>
      <c r="L37" s="9"/>
      <c r="M37" s="46"/>
      <c r="P37" s="8"/>
    </row>
    <row r="38" spans="1:16" x14ac:dyDescent="0.25">
      <c r="A38" s="14">
        <f t="shared" si="0"/>
        <v>28</v>
      </c>
      <c r="B38" s="14"/>
      <c r="C38" s="41" t="s">
        <v>41</v>
      </c>
      <c r="D38" s="42">
        <f>'Allocation = % of margin'!D32</f>
        <v>698883.6</v>
      </c>
      <c r="E38" s="42">
        <v>20000</v>
      </c>
      <c r="F38" s="44"/>
      <c r="G38" s="9"/>
      <c r="H38" s="8">
        <f>'Allocation = % of margin'!E32</f>
        <v>0.78433999999999959</v>
      </c>
      <c r="I38" s="9"/>
      <c r="J38" s="8">
        <v>0</v>
      </c>
      <c r="K38" s="8">
        <f>'Allocation = % of margin'!P32+H38-J38</f>
        <v>0.78964999999999963</v>
      </c>
      <c r="L38" s="9"/>
      <c r="M38" s="46"/>
      <c r="P38" s="8"/>
    </row>
    <row r="39" spans="1:16" x14ac:dyDescent="0.25">
      <c r="A39" s="14">
        <f t="shared" si="0"/>
        <v>29</v>
      </c>
      <c r="B39" s="14"/>
      <c r="C39" s="41" t="s">
        <v>46</v>
      </c>
      <c r="D39" s="42">
        <f>'Allocation = % of margin'!D33</f>
        <v>213653.7</v>
      </c>
      <c r="E39" s="42">
        <v>20000</v>
      </c>
      <c r="F39" s="44"/>
      <c r="G39" s="9"/>
      <c r="H39" s="8">
        <f>'Allocation = % of margin'!E33</f>
        <v>0.73830999999999991</v>
      </c>
      <c r="I39" s="9"/>
      <c r="J39" s="8">
        <v>0</v>
      </c>
      <c r="K39" s="8">
        <f>'Allocation = % of margin'!P33+H39-J39</f>
        <v>0.74238999999999988</v>
      </c>
      <c r="L39" s="9"/>
      <c r="M39" s="46"/>
      <c r="P39" s="8"/>
    </row>
    <row r="40" spans="1:16" x14ac:dyDescent="0.25">
      <c r="A40" s="14">
        <f t="shared" si="0"/>
        <v>30</v>
      </c>
      <c r="B40" s="14"/>
      <c r="C40" s="41" t="s">
        <v>47</v>
      </c>
      <c r="D40" s="42">
        <f>'Allocation = % of margin'!D34</f>
        <v>43633.5</v>
      </c>
      <c r="E40" s="42">
        <v>100000</v>
      </c>
      <c r="F40" s="44"/>
      <c r="G40" s="9"/>
      <c r="H40" s="8">
        <f>'Allocation = % of margin'!E34</f>
        <v>0.70801000000000025</v>
      </c>
      <c r="I40" s="9"/>
      <c r="J40" s="8">
        <v>0</v>
      </c>
      <c r="K40" s="8">
        <f>'Allocation = % of margin'!P34+H40-J40</f>
        <v>0.71127000000000029</v>
      </c>
      <c r="L40" s="9"/>
      <c r="M40" s="46"/>
      <c r="P40" s="8"/>
    </row>
    <row r="41" spans="1:16" x14ac:dyDescent="0.25">
      <c r="A41" s="14">
        <f t="shared" si="0"/>
        <v>31</v>
      </c>
      <c r="B41" s="14"/>
      <c r="C41" s="41" t="s">
        <v>48</v>
      </c>
      <c r="D41" s="42">
        <f>'Allocation = % of margin'!D35</f>
        <v>0</v>
      </c>
      <c r="E41" s="42">
        <v>600000</v>
      </c>
      <c r="F41" s="44"/>
      <c r="G41" s="9"/>
      <c r="H41" s="8">
        <f>'Allocation = % of margin'!E35</f>
        <v>0.66761000000000004</v>
      </c>
      <c r="I41" s="9"/>
      <c r="J41" s="8">
        <v>0</v>
      </c>
      <c r="K41" s="8">
        <f>'Allocation = % of margin'!P35+H41-J41</f>
        <v>0.66978000000000004</v>
      </c>
      <c r="L41" s="9"/>
      <c r="M41" s="46"/>
      <c r="P41" s="8"/>
    </row>
    <row r="42" spans="1:16" x14ac:dyDescent="0.25">
      <c r="A42" s="14">
        <f t="shared" si="0"/>
        <v>32</v>
      </c>
      <c r="B42" s="14"/>
      <c r="C42" s="41" t="s">
        <v>49</v>
      </c>
      <c r="D42" s="42">
        <f>'Allocation = % of margin'!D36</f>
        <v>0</v>
      </c>
      <c r="E42" s="43" t="s">
        <v>76</v>
      </c>
      <c r="F42" s="44"/>
      <c r="G42" s="9"/>
      <c r="H42" s="8">
        <f>'Allocation = % of margin'!E36</f>
        <v>0.61709000000000014</v>
      </c>
      <c r="I42" s="9"/>
      <c r="J42" s="8">
        <v>0</v>
      </c>
      <c r="K42" s="8">
        <f>'Allocation = % of margin'!P36+H42-J42</f>
        <v>0.61790000000000012</v>
      </c>
      <c r="L42" s="9"/>
      <c r="M42" s="46"/>
      <c r="P42" s="8"/>
    </row>
    <row r="43" spans="1:16" x14ac:dyDescent="0.25">
      <c r="A43" s="14">
        <f t="shared" si="0"/>
        <v>33</v>
      </c>
      <c r="B43" s="40"/>
      <c r="C43" s="47" t="s">
        <v>77</v>
      </c>
      <c r="D43" s="48"/>
      <c r="E43" s="49"/>
      <c r="F43" s="50"/>
      <c r="G43" s="38"/>
      <c r="H43" s="51"/>
      <c r="I43" s="37">
        <f>$G37+ROUND(IF($F37&lt;$E37,($F37*H37),IF($F37&lt;SUM($E37:$E38),(($E37*H37)+(($F37-$E37)*H38)),IF($F37&lt;SUM($E37:$E39),(($E37*H37)+($E38*H38)+(($F37-$E37-$E38)*H39)),IF($F37&lt;SUM($E37:$E40),(($E37*H37)+($E38*H38)+($E39*H39)+(($F37-SUM($E37:$E39))*H40)),IF($F37&lt;SUM($E37:$E41),(($E37*H37)+($E38*H38)+($E39*H39)+($E40*H40)+(($F37-SUM($E37:$E40))*H41)),(($E37*H37)+($E38*H38)+($E39*H39)+($E40*H39)+($E41*H41)+(($F37-SUM($E37:$E41))*H42))))))),2)</f>
        <v>15072.45</v>
      </c>
      <c r="J43" s="51"/>
      <c r="K43" s="51"/>
      <c r="L43" s="38">
        <f>$G37+ROUND(IF($F37&lt;$E37,($F37*K37),IF($F37&lt;SUM($E37:$E38),(($E37*K37)+(($F37-$E37)*K38)),IF($F37&lt;SUM($E37:$E39),(($E37*K37)+($E38*K38)+(($F37-$E37-$E38)*K39)),IF($F37&lt;SUM($E37:$E40),(($E37*K37)+($E38*K38)+($E39*K39)+(($F37-SUM($E37:$E39))*K40)),IF($F37&lt;SUM($E37:$E41),(($E37*K37)+($E38*K38)+($E39*K39)+($E40*K40)+(($F37-SUM($E37:$E40))*K41)),(($E37*K37)+($E38*K38)+($E39*K39)+($E40*K39)+($E41*K41)+(($F37-SUM($E37:$E41))*K42))))))),2)</f>
        <v>15170.42</v>
      </c>
      <c r="M43" s="39">
        <f>(L43-I43)/I43</f>
        <v>6.4999386297515888E-3</v>
      </c>
      <c r="P43" s="8"/>
    </row>
    <row r="44" spans="1:16" x14ac:dyDescent="0.25">
      <c r="A44" s="14">
        <f t="shared" si="0"/>
        <v>34</v>
      </c>
      <c r="B44" s="14" t="s">
        <v>50</v>
      </c>
      <c r="C44" s="41" t="s">
        <v>40</v>
      </c>
      <c r="D44" s="42">
        <f>'Allocation = % of margin'!D37</f>
        <v>1266148.1421839348</v>
      </c>
      <c r="E44" s="42">
        <v>10000</v>
      </c>
      <c r="F44" s="44">
        <v>19128</v>
      </c>
      <c r="G44" s="45">
        <f>'Allocation = % of margin'!J37</f>
        <v>1300</v>
      </c>
      <c r="H44" s="8">
        <f>'Allocation = % of margin'!E37</f>
        <v>0.75461</v>
      </c>
      <c r="I44" s="9"/>
      <c r="J44" s="8">
        <v>0</v>
      </c>
      <c r="K44" s="8">
        <f>'Allocation = % of margin'!P37+H44-J44</f>
        <v>0.75948000000000004</v>
      </c>
      <c r="L44" s="9"/>
      <c r="M44" s="46"/>
      <c r="P44" s="8"/>
    </row>
    <row r="45" spans="1:16" x14ac:dyDescent="0.25">
      <c r="A45" s="14">
        <f t="shared" si="0"/>
        <v>35</v>
      </c>
      <c r="B45" s="14"/>
      <c r="C45" s="41" t="s">
        <v>41</v>
      </c>
      <c r="D45" s="42">
        <f>'Allocation = % of margin'!D38</f>
        <v>871827.239127715</v>
      </c>
      <c r="E45" s="42">
        <v>20000</v>
      </c>
      <c r="F45" s="44"/>
      <c r="G45" s="9"/>
      <c r="H45" s="8">
        <f>'Allocation = % of margin'!E38</f>
        <v>0.7370000000000001</v>
      </c>
      <c r="I45" s="9"/>
      <c r="J45" s="8">
        <v>0</v>
      </c>
      <c r="K45" s="8">
        <f>'Allocation = % of margin'!P38+H45-J45</f>
        <v>0.74136000000000013</v>
      </c>
      <c r="L45" s="9"/>
      <c r="M45" s="46"/>
      <c r="P45" s="8"/>
    </row>
    <row r="46" spans="1:16" x14ac:dyDescent="0.25">
      <c r="A46" s="14">
        <f t="shared" si="0"/>
        <v>36</v>
      </c>
      <c r="B46" s="14"/>
      <c r="C46" s="41" t="s">
        <v>46</v>
      </c>
      <c r="D46" s="42">
        <f>'Allocation = % of margin'!D39</f>
        <v>146522.52953330288</v>
      </c>
      <c r="E46" s="42">
        <v>20000</v>
      </c>
      <c r="F46" s="44"/>
      <c r="G46" s="9"/>
      <c r="H46" s="8">
        <f>'Allocation = % of margin'!E39</f>
        <v>0.70197999999999983</v>
      </c>
      <c r="I46" s="9"/>
      <c r="J46" s="8">
        <v>0</v>
      </c>
      <c r="K46" s="8">
        <f>'Allocation = % of margin'!P39+H46-J46</f>
        <v>0.70532999999999979</v>
      </c>
      <c r="L46" s="9"/>
      <c r="M46" s="46"/>
      <c r="P46" s="8"/>
    </row>
    <row r="47" spans="1:16" x14ac:dyDescent="0.25">
      <c r="A47" s="14">
        <f t="shared" si="0"/>
        <v>37</v>
      </c>
      <c r="B47" s="14"/>
      <c r="C47" s="41" t="s">
        <v>47</v>
      </c>
      <c r="D47" s="42">
        <f>'Allocation = % of margin'!D40</f>
        <v>10866.561995046666</v>
      </c>
      <c r="E47" s="42">
        <v>100000</v>
      </c>
      <c r="F47" s="44"/>
      <c r="G47" s="9"/>
      <c r="H47" s="8">
        <f>'Allocation = % of margin'!E40</f>
        <v>0.67895000000000005</v>
      </c>
      <c r="I47" s="9"/>
      <c r="J47" s="8">
        <v>0</v>
      </c>
      <c r="K47" s="8">
        <f>'Allocation = % of margin'!P40+H47-J47</f>
        <v>0.68163000000000007</v>
      </c>
      <c r="L47" s="9"/>
      <c r="M47" s="46"/>
      <c r="P47" s="8"/>
    </row>
    <row r="48" spans="1:16" x14ac:dyDescent="0.25">
      <c r="A48" s="14">
        <f t="shared" si="0"/>
        <v>38</v>
      </c>
      <c r="B48" s="14"/>
      <c r="C48" s="41" t="s">
        <v>48</v>
      </c>
      <c r="D48" s="42">
        <f>'Allocation = % of margin'!D41</f>
        <v>0</v>
      </c>
      <c r="E48" s="42">
        <v>600000</v>
      </c>
      <c r="F48" s="44"/>
      <c r="G48" s="9"/>
      <c r="H48" s="8">
        <f>'Allocation = % of margin'!E41</f>
        <v>0.64824000000000026</v>
      </c>
      <c r="I48" s="9"/>
      <c r="J48" s="8">
        <v>0</v>
      </c>
      <c r="K48" s="8">
        <f>'Allocation = % of margin'!P41+H48-J48</f>
        <v>0.65002000000000026</v>
      </c>
      <c r="L48" s="9"/>
      <c r="M48" s="46"/>
      <c r="P48" s="8"/>
    </row>
    <row r="49" spans="1:16" x14ac:dyDescent="0.25">
      <c r="A49" s="14">
        <f t="shared" si="0"/>
        <v>39</v>
      </c>
      <c r="B49" s="14"/>
      <c r="C49" s="41" t="s">
        <v>49</v>
      </c>
      <c r="D49" s="42">
        <f>'Allocation = % of margin'!D42</f>
        <v>0</v>
      </c>
      <c r="E49" s="43" t="s">
        <v>76</v>
      </c>
      <c r="F49" s="44"/>
      <c r="G49" s="9"/>
      <c r="H49" s="8">
        <f>'Allocation = % of margin'!E42</f>
        <v>0.60981999999999992</v>
      </c>
      <c r="I49" s="9"/>
      <c r="J49" s="8">
        <v>0</v>
      </c>
      <c r="K49" s="8">
        <f>'Allocation = % of margin'!P42+H49-J49</f>
        <v>0.61048999999999987</v>
      </c>
      <c r="L49" s="9"/>
      <c r="M49" s="46"/>
      <c r="P49" s="8"/>
    </row>
    <row r="50" spans="1:16" x14ac:dyDescent="0.25">
      <c r="A50" s="14">
        <f t="shared" si="0"/>
        <v>40</v>
      </c>
      <c r="B50" s="40"/>
      <c r="C50" s="47" t="s">
        <v>77</v>
      </c>
      <c r="D50" s="48"/>
      <c r="E50" s="49"/>
      <c r="F50" s="50"/>
      <c r="G50" s="38"/>
      <c r="H50" s="51"/>
      <c r="I50" s="37">
        <f>$G44+ROUND(IF($F44&lt;$E44,($F44*H44),IF($F44&lt;SUM($E44:$E45),(($E44*H44)+(($F44-$E44)*H45)),IF($F44&lt;SUM($E44:$E46),(($E44*H44)+($E45*H45)+(($F44-$E44-$E45)*H46)),IF($F44&lt;SUM($E44:$E47),(($E44*H44)+($E45*H45)+($E46*H46)+(($F44-SUM($E44:$E46))*H47)),IF($F44&lt;SUM($E44:$E48),(($E44*H44)+($E45*H45)+($E46*H46)+($E47*H47)+(($F44-SUM($E44:$E47))*H48)),(($E44*H44)+($E45*H45)+($E46*H46)+($E47*H46)+($E48*H48)+(($F44-SUM($E44:$E48))*H49))))))),2)</f>
        <v>15573.44</v>
      </c>
      <c r="J50" s="51"/>
      <c r="K50" s="51"/>
      <c r="L50" s="38">
        <f>$G44+ROUND(IF($F44&lt;$E44,($F44*K44),IF($F44&lt;SUM($E44:$E45),(($E44*K44)+(($F44-$E44)*K45)),IF($F44&lt;SUM($E44:$E46),(($E44*K44)+($E45*K45)+(($F44-$E44-$E45)*K46)),IF($F44&lt;SUM($E44:$E47),(($E44*K44)+($E45*K45)+($E46*K46)+(($F44-SUM($E44:$E46))*K47)),IF($F44&lt;SUM($E44:$E48),(($E44*K44)+($E45*K45)+($E46*K46)+($E47*K47)+(($F44-SUM($E44:$E47))*K48)),(($E44*K44)+($E45*K45)+($E46*K46)+($E47*K46)+($E48*K48)+(($F44-SUM($E44:$E48))*K49))))))),2)</f>
        <v>15661.93</v>
      </c>
      <c r="M50" s="39">
        <f>(L50-I50)/I50</f>
        <v>5.6821100540407118E-3</v>
      </c>
      <c r="P50" s="8"/>
    </row>
    <row r="51" spans="1:16" x14ac:dyDescent="0.25">
      <c r="A51" s="14">
        <f t="shared" si="0"/>
        <v>41</v>
      </c>
      <c r="B51" s="14" t="s">
        <v>51</v>
      </c>
      <c r="C51" s="41" t="s">
        <v>40</v>
      </c>
      <c r="D51" s="42">
        <f>'Allocation = % of margin'!D43</f>
        <v>217852.64307951118</v>
      </c>
      <c r="E51" s="42">
        <v>10000</v>
      </c>
      <c r="F51" s="44">
        <v>73112</v>
      </c>
      <c r="G51" s="45">
        <f>'Allocation = % of margin'!J43</f>
        <v>1550</v>
      </c>
      <c r="H51" s="8">
        <f>'Allocation = % of margin'!E43</f>
        <v>0.15375999999999998</v>
      </c>
      <c r="I51" s="9"/>
      <c r="J51" s="8">
        <v>0</v>
      </c>
      <c r="K51" s="8">
        <f>'Allocation = % of margin'!P43+H51-J51</f>
        <v>0.15750999999999998</v>
      </c>
      <c r="L51" s="9"/>
      <c r="M51" s="46"/>
      <c r="P51" s="8"/>
    </row>
    <row r="52" spans="1:16" x14ac:dyDescent="0.25">
      <c r="A52" s="14">
        <f t="shared" si="0"/>
        <v>42</v>
      </c>
      <c r="B52" s="14"/>
      <c r="C52" s="41" t="s">
        <v>41</v>
      </c>
      <c r="D52" s="42">
        <f>'Allocation = % of margin'!D44</f>
        <v>435705.28615902236</v>
      </c>
      <c r="E52" s="42">
        <v>20000</v>
      </c>
      <c r="F52" s="44"/>
      <c r="G52" s="9"/>
      <c r="H52" s="8">
        <f>'Allocation = % of margin'!E44</f>
        <v>0.13764000000000001</v>
      </c>
      <c r="I52" s="9"/>
      <c r="J52" s="8">
        <v>0</v>
      </c>
      <c r="K52" s="8">
        <f>'Allocation = % of margin'!P44+H52-J52</f>
        <v>0.14100000000000001</v>
      </c>
      <c r="L52" s="9"/>
      <c r="M52" s="46"/>
      <c r="P52" s="8"/>
    </row>
    <row r="53" spans="1:16" x14ac:dyDescent="0.25">
      <c r="A53" s="14">
        <f t="shared" si="0"/>
        <v>43</v>
      </c>
      <c r="B53" s="14"/>
      <c r="C53" s="41" t="s">
        <v>46</v>
      </c>
      <c r="D53" s="42">
        <f>'Allocation = % of margin'!D45</f>
        <v>435705.28615902236</v>
      </c>
      <c r="E53" s="42">
        <v>20000</v>
      </c>
      <c r="F53" s="44"/>
      <c r="G53" s="9"/>
      <c r="H53" s="8">
        <f>'Allocation = % of margin'!E45</f>
        <v>0.10553</v>
      </c>
      <c r="I53" s="9"/>
      <c r="J53" s="8">
        <v>0</v>
      </c>
      <c r="K53" s="8">
        <f>'Allocation = % of margin'!P45+H53-J53</f>
        <v>0.10811</v>
      </c>
      <c r="L53" s="9"/>
      <c r="M53" s="46"/>
      <c r="P53" s="8"/>
    </row>
    <row r="54" spans="1:16" x14ac:dyDescent="0.25">
      <c r="A54" s="14">
        <f t="shared" si="0"/>
        <v>44</v>
      </c>
      <c r="B54" s="14"/>
      <c r="C54" s="41" t="s">
        <v>47</v>
      </c>
      <c r="D54" s="42">
        <f>'Allocation = % of margin'!D46</f>
        <v>665436.34460244386</v>
      </c>
      <c r="E54" s="42">
        <v>100000</v>
      </c>
      <c r="F54" s="44"/>
      <c r="G54" s="9"/>
      <c r="H54" s="8">
        <f>'Allocation = % of margin'!E46</f>
        <v>8.4450000000000011E-2</v>
      </c>
      <c r="I54" s="9"/>
      <c r="J54" s="8">
        <v>0</v>
      </c>
      <c r="K54" s="8">
        <f>'Allocation = % of margin'!P46+H54-J54</f>
        <v>8.6510000000000017E-2</v>
      </c>
      <c r="L54" s="9"/>
      <c r="M54" s="46"/>
      <c r="P54" s="8"/>
    </row>
    <row r="55" spans="1:16" x14ac:dyDescent="0.25">
      <c r="A55" s="14">
        <f t="shared" si="0"/>
        <v>45</v>
      </c>
      <c r="B55" s="14"/>
      <c r="C55" s="41" t="s">
        <v>48</v>
      </c>
      <c r="D55" s="42">
        <f>'Allocation = % of margin'!D47</f>
        <v>0</v>
      </c>
      <c r="E55" s="42">
        <v>600000</v>
      </c>
      <c r="F55" s="44"/>
      <c r="G55" s="9"/>
      <c r="H55" s="8">
        <f>'Allocation = % of margin'!E47</f>
        <v>5.629E-2</v>
      </c>
      <c r="I55" s="9"/>
      <c r="J55" s="8">
        <v>0</v>
      </c>
      <c r="K55" s="8">
        <f>'Allocation = % of margin'!P47+H55-J55</f>
        <v>5.7660000000000003E-2</v>
      </c>
      <c r="L55" s="9"/>
      <c r="M55" s="46"/>
      <c r="P55" s="8"/>
    </row>
    <row r="56" spans="1:16" x14ac:dyDescent="0.25">
      <c r="A56" s="14">
        <f t="shared" si="0"/>
        <v>46</v>
      </c>
      <c r="B56" s="14"/>
      <c r="C56" s="41" t="s">
        <v>49</v>
      </c>
      <c r="D56" s="42">
        <f>'Allocation = % of margin'!D48</f>
        <v>0</v>
      </c>
      <c r="E56" s="43" t="s">
        <v>76</v>
      </c>
      <c r="F56" s="44"/>
      <c r="G56" s="9"/>
      <c r="H56" s="8">
        <f>'Allocation = % of margin'!E48</f>
        <v>2.111E-2</v>
      </c>
      <c r="I56" s="9"/>
      <c r="J56" s="8">
        <v>0</v>
      </c>
      <c r="K56" s="8">
        <f>'Allocation = % of margin'!P48+H56-J56</f>
        <v>2.163E-2</v>
      </c>
      <c r="L56" s="9"/>
      <c r="M56" s="46"/>
      <c r="P56" s="8"/>
    </row>
    <row r="57" spans="1:16" x14ac:dyDescent="0.25">
      <c r="A57" s="14">
        <f t="shared" si="0"/>
        <v>47</v>
      </c>
      <c r="B57" s="40"/>
      <c r="C57" s="47" t="s">
        <v>77</v>
      </c>
      <c r="D57" s="48"/>
      <c r="E57" s="49"/>
      <c r="F57" s="50"/>
      <c r="G57" s="38"/>
      <c r="H57" s="51"/>
      <c r="I57" s="37">
        <f>$G51+ROUND(IF($F51&lt;$E51,($F51*H51),IF($F51&lt;SUM($E51:$E52),(($E51*H51)+(($F51-$E51)*H52)),IF($F51&lt;SUM($E51:$E53),(($E51*H51)+($E52*H52)+(($F51-$E51-$E52)*H53)),IF($F51&lt;SUM($E51:$E54),(($E51*H51)+($E52*H52)+($E53*H53)+(($F51-SUM($E51:$E53))*H54)),IF($F51&lt;SUM($E51:$E55),(($E51*H51)+($E52*H52)+($E53*H53)+($E54*H54)+(($F51-SUM($E51:$E54))*H55)),(($E51*H51)+($E52*H52)+($E53*H53)+($E54*H53)+($E55*H55)+(($F51-SUM($E51:$E55))*H56))))))),2)</f>
        <v>9902.81</v>
      </c>
      <c r="J57" s="51"/>
      <c r="K57" s="51"/>
      <c r="L57" s="38">
        <f>$G51+ROUND(IF($F51&lt;$E51,($F51*K51),IF($F51&lt;SUM($E51:$E52),(($E51*K51)+(($F51-$E51)*K52)),IF($F51&lt;SUM($E51:$E53),(($E51*K51)+($E52*K52)+(($F51-$E51-$E52)*K53)),IF($F51&lt;SUM($E51:$E54),(($E51*K51)+($E52*K52)+($E53*K53)+(($F51-SUM($E51:$E53))*K54)),IF($F51&lt;SUM($E51:$E55),(($E51*K51)+($E52*K52)+($E53*K53)+($E54*K54)+(($F51-SUM($E51:$E54))*K55)),(($E51*K51)+($E52*K52)+($E53*K53)+($E54*K53)+($E55*K55)+(($F51-SUM($E51:$E55))*K56))))))),2)</f>
        <v>10106.719999999999</v>
      </c>
      <c r="M57" s="39">
        <f>(L57-I57)/I57</f>
        <v>2.0591125145287031E-2</v>
      </c>
      <c r="P57" s="8"/>
    </row>
    <row r="58" spans="1:16" x14ac:dyDescent="0.25">
      <c r="A58" s="14">
        <f t="shared" si="0"/>
        <v>48</v>
      </c>
      <c r="B58" s="14" t="s">
        <v>52</v>
      </c>
      <c r="C58" s="41" t="s">
        <v>40</v>
      </c>
      <c r="D58" s="42">
        <f>'Allocation = % of margin'!D49</f>
        <v>840318.28913812735</v>
      </c>
      <c r="E58" s="42">
        <v>10000</v>
      </c>
      <c r="F58" s="44">
        <v>68813</v>
      </c>
      <c r="G58" s="45">
        <f>'Allocation = % of margin'!J49</f>
        <v>1550</v>
      </c>
      <c r="H58" s="8">
        <f>'Allocation = % of margin'!E49</f>
        <v>0.15086000000000002</v>
      </c>
      <c r="I58" s="9"/>
      <c r="J58" s="8">
        <v>0</v>
      </c>
      <c r="K58" s="8">
        <f>'Allocation = % of margin'!P49+H58-J58</f>
        <v>0.15467000000000003</v>
      </c>
      <c r="L58" s="9"/>
      <c r="M58" s="46"/>
      <c r="P58" s="8"/>
    </row>
    <row r="59" spans="1:16" x14ac:dyDescent="0.25">
      <c r="A59" s="14">
        <f t="shared" si="0"/>
        <v>49</v>
      </c>
      <c r="B59" s="14"/>
      <c r="C59" s="41" t="s">
        <v>41</v>
      </c>
      <c r="D59" s="42">
        <f>'Allocation = % of margin'!D50</f>
        <v>1062417.1455207404</v>
      </c>
      <c r="E59" s="42">
        <v>20000</v>
      </c>
      <c r="F59" s="44"/>
      <c r="G59" s="9"/>
      <c r="H59" s="8">
        <f>'Allocation = % of margin'!E50</f>
        <v>0.13502999999999993</v>
      </c>
      <c r="I59" s="9"/>
      <c r="J59" s="8">
        <v>0</v>
      </c>
      <c r="K59" s="8">
        <f>'Allocation = % of margin'!P50+H59-J59</f>
        <v>0.13843999999999992</v>
      </c>
      <c r="L59" s="9"/>
      <c r="M59" s="46"/>
      <c r="P59" s="8"/>
    </row>
    <row r="60" spans="1:16" x14ac:dyDescent="0.25">
      <c r="A60" s="14">
        <f t="shared" si="0"/>
        <v>50</v>
      </c>
      <c r="B60" s="14"/>
      <c r="C60" s="41" t="s">
        <v>46</v>
      </c>
      <c r="D60" s="42">
        <f>'Allocation = % of margin'!D51</f>
        <v>936547.2792859514</v>
      </c>
      <c r="E60" s="42">
        <v>20000</v>
      </c>
      <c r="F60" s="44"/>
      <c r="G60" s="9"/>
      <c r="H60" s="8">
        <f>'Allocation = % of margin'!E51</f>
        <v>0.10354000000000001</v>
      </c>
      <c r="I60" s="9"/>
      <c r="J60" s="8">
        <v>0</v>
      </c>
      <c r="K60" s="8">
        <f>'Allocation = % of margin'!P51+H60-J60</f>
        <v>0.10615000000000001</v>
      </c>
      <c r="L60" s="9"/>
      <c r="M60" s="46"/>
      <c r="P60" s="8"/>
    </row>
    <row r="61" spans="1:16" x14ac:dyDescent="0.25">
      <c r="A61" s="14">
        <f t="shared" si="0"/>
        <v>51</v>
      </c>
      <c r="B61" s="14"/>
      <c r="C61" s="41" t="s">
        <v>47</v>
      </c>
      <c r="D61" s="42">
        <f>'Allocation = % of margin'!D52</f>
        <v>2527102.6120563564</v>
      </c>
      <c r="E61" s="42">
        <v>100000</v>
      </c>
      <c r="F61" s="44"/>
      <c r="G61" s="9"/>
      <c r="H61" s="8">
        <f>'Allocation = % of margin'!E52</f>
        <v>8.2830000000000029E-2</v>
      </c>
      <c r="I61" s="9"/>
      <c r="J61" s="8">
        <v>0</v>
      </c>
      <c r="K61" s="8">
        <f>'Allocation = % of margin'!P52+H61-J61</f>
        <v>8.4920000000000023E-2</v>
      </c>
      <c r="L61" s="9"/>
      <c r="M61" s="46"/>
      <c r="P61" s="8"/>
    </row>
    <row r="62" spans="1:16" x14ac:dyDescent="0.25">
      <c r="A62" s="14">
        <f t="shared" si="0"/>
        <v>52</v>
      </c>
      <c r="B62" s="14"/>
      <c r="C62" s="41" t="s">
        <v>48</v>
      </c>
      <c r="D62" s="42">
        <f>'Allocation = % of margin'!D53</f>
        <v>1239685.5839988254</v>
      </c>
      <c r="E62" s="42">
        <v>600000</v>
      </c>
      <c r="F62" s="44"/>
      <c r="G62" s="9"/>
      <c r="H62" s="8">
        <f>'Allocation = % of margin'!E53</f>
        <v>5.5230000000000001E-2</v>
      </c>
      <c r="I62" s="9"/>
      <c r="J62" s="8">
        <v>0</v>
      </c>
      <c r="K62" s="8">
        <f>'Allocation = % of margin'!P53+H62-J62</f>
        <v>5.6620000000000004E-2</v>
      </c>
      <c r="L62" s="9"/>
      <c r="M62" s="46"/>
      <c r="P62" s="8"/>
    </row>
    <row r="63" spans="1:16" x14ac:dyDescent="0.25">
      <c r="A63" s="14">
        <f t="shared" si="0"/>
        <v>53</v>
      </c>
      <c r="B63" s="14"/>
      <c r="C63" s="41" t="s">
        <v>49</v>
      </c>
      <c r="D63" s="42">
        <f>'Allocation = % of margin'!D54</f>
        <v>0</v>
      </c>
      <c r="E63" s="43" t="s">
        <v>76</v>
      </c>
      <c r="F63" s="44"/>
      <c r="G63" s="9"/>
      <c r="H63" s="8">
        <f>'Allocation = % of margin'!E54</f>
        <v>2.0709999999999999E-2</v>
      </c>
      <c r="I63" s="9"/>
      <c r="J63" s="8">
        <v>0</v>
      </c>
      <c r="K63" s="8">
        <f>'Allocation = % of margin'!P54+H63-J63</f>
        <v>2.1229999999999999E-2</v>
      </c>
      <c r="L63" s="9"/>
      <c r="M63" s="46"/>
      <c r="P63" s="8"/>
    </row>
    <row r="64" spans="1:16" x14ac:dyDescent="0.25">
      <c r="A64" s="14">
        <f t="shared" si="0"/>
        <v>54</v>
      </c>
      <c r="B64" s="40"/>
      <c r="C64" s="47" t="s">
        <v>77</v>
      </c>
      <c r="D64" s="48"/>
      <c r="E64" s="49"/>
      <c r="F64" s="50"/>
      <c r="G64" s="38"/>
      <c r="H64" s="51"/>
      <c r="I64" s="37">
        <f>$G58+ROUND(IF($F58&lt;$E58,($F58*H58),IF($F58&lt;SUM($E58:$E59),(($E58*H58)+(($F58-$E58)*H59)),IF($F58&lt;SUM($E58:$E60),(($E58*H58)+($E59*H59)+(($F58-$E58-$E59)*H60)),IF($F58&lt;SUM($E58:$E61),(($E58*H58)+($E59*H59)+($E60*H60)+(($F58-SUM($E58:$E60))*H61)),IF($F58&lt;SUM($E58:$E62),(($E58*H58)+($E59*H59)+($E60*H60)+($E61*H61)+(($F58-SUM($E58:$E61))*H62)),(($E58*H58)+($E59*H59)+($E60*H60)+($E61*H60)+($E62*H62)+(($F58-SUM($E58:$E62))*H63))))))),2)</f>
        <v>9388.2799999999988</v>
      </c>
      <c r="J64" s="51"/>
      <c r="K64" s="51"/>
      <c r="L64" s="38">
        <f>$G58+ROUND(IF($F58&lt;$E58,($F58*K58),IF($F58&lt;SUM($E58:$E59),(($E58*K58)+(($F58-$E58)*K59)),IF($F58&lt;SUM($E58:$E60),(($E58*K58)+($E59*K59)+(($F58-$E58-$E59)*K60)),IF($F58&lt;SUM($E58:$E61),(($E58*K58)+($E59*K59)+($E60*K60)+(($F58-SUM($E58:$E60))*K61)),IF($F58&lt;SUM($E58:$E62),(($E58*K58)+($E59*K59)+($E60*K60)+($E61*K61)+(($F58-SUM($E58:$E61))*K62)),(($E58*K58)+($E59*K59)+($E60*K60)+($E61*K60)+($E62*K62)+(($F58-SUM($E58:$E62))*K63))))))),2)</f>
        <v>9586.1</v>
      </c>
      <c r="M64" s="39">
        <f>(L64-I64)/I64</f>
        <v>2.1070952293711049E-2</v>
      </c>
      <c r="P64" s="8"/>
    </row>
    <row r="65" spans="1:16" x14ac:dyDescent="0.25">
      <c r="A65" s="14">
        <f t="shared" si="0"/>
        <v>55</v>
      </c>
      <c r="B65" s="14" t="s">
        <v>53</v>
      </c>
      <c r="C65" s="41" t="s">
        <v>40</v>
      </c>
      <c r="D65" s="42">
        <f>'Allocation = % of margin'!D55</f>
        <v>226931.87075753463</v>
      </c>
      <c r="E65" s="42">
        <v>10000</v>
      </c>
      <c r="F65" s="44">
        <v>39178</v>
      </c>
      <c r="G65" s="45">
        <f>'Allocation = % of margin'!J55</f>
        <v>1300</v>
      </c>
      <c r="H65" s="8">
        <f>'Allocation = % of margin'!E55</f>
        <v>0.76839000000000013</v>
      </c>
      <c r="I65" s="9"/>
      <c r="J65" s="8">
        <v>0</v>
      </c>
      <c r="K65" s="8">
        <f>'Allocation = % of margin'!P55+H65-J65</f>
        <v>0.77265000000000017</v>
      </c>
      <c r="L65" s="9"/>
      <c r="M65" s="46"/>
      <c r="P65" s="8"/>
    </row>
    <row r="66" spans="1:16" x14ac:dyDescent="0.25">
      <c r="A66" s="14">
        <f t="shared" si="0"/>
        <v>56</v>
      </c>
      <c r="B66" s="14"/>
      <c r="C66" s="41" t="s">
        <v>41</v>
      </c>
      <c r="D66" s="42">
        <f>'Allocation = % of margin'!D56</f>
        <v>425616.39690252516</v>
      </c>
      <c r="E66" s="42">
        <v>20000</v>
      </c>
      <c r="F66" s="52"/>
      <c r="G66" s="53"/>
      <c r="H66" s="8">
        <f>'Allocation = % of margin'!E56</f>
        <v>0.74927999999999984</v>
      </c>
      <c r="I66" s="9"/>
      <c r="J66" s="8">
        <v>0</v>
      </c>
      <c r="K66" s="8">
        <f>'Allocation = % of margin'!P56+H66-J66</f>
        <v>0.75309999999999988</v>
      </c>
      <c r="L66" s="9"/>
      <c r="M66" s="46"/>
      <c r="P66" s="8"/>
    </row>
    <row r="67" spans="1:16" x14ac:dyDescent="0.25">
      <c r="A67" s="14">
        <f t="shared" si="0"/>
        <v>57</v>
      </c>
      <c r="B67" s="14"/>
      <c r="C67" s="41" t="s">
        <v>46</v>
      </c>
      <c r="D67" s="42">
        <f>'Allocation = % of margin'!D57</f>
        <v>194048.49713530636</v>
      </c>
      <c r="E67" s="42">
        <v>20000</v>
      </c>
      <c r="F67" s="52"/>
      <c r="G67" s="53"/>
      <c r="H67" s="8">
        <f>'Allocation = % of margin'!E57</f>
        <v>0.71125000000000005</v>
      </c>
      <c r="I67" s="9"/>
      <c r="J67" s="8">
        <v>0</v>
      </c>
      <c r="K67" s="8">
        <f>'Allocation = % of margin'!P57+H67-J67</f>
        <v>0.71418000000000004</v>
      </c>
      <c r="L67" s="9"/>
      <c r="M67" s="46"/>
      <c r="P67" s="8"/>
    </row>
    <row r="68" spans="1:16" x14ac:dyDescent="0.25">
      <c r="A68" s="14">
        <f t="shared" si="0"/>
        <v>58</v>
      </c>
      <c r="B68" s="14"/>
      <c r="C68" s="41" t="s">
        <v>47</v>
      </c>
      <c r="D68" s="42">
        <f>'Allocation = % of margin'!D58</f>
        <v>93667.075204633904</v>
      </c>
      <c r="E68" s="42">
        <v>100000</v>
      </c>
      <c r="F68" s="52"/>
      <c r="G68" s="53"/>
      <c r="H68" s="8">
        <f>'Allocation = % of margin'!E58</f>
        <v>0.68620999999999999</v>
      </c>
      <c r="I68" s="9"/>
      <c r="J68" s="8">
        <v>0</v>
      </c>
      <c r="K68" s="8">
        <f>'Allocation = % of margin'!P58+H68-J68</f>
        <v>0.68855</v>
      </c>
      <c r="L68" s="9"/>
      <c r="M68" s="46"/>
      <c r="P68" s="8"/>
    </row>
    <row r="69" spans="1:16" x14ac:dyDescent="0.25">
      <c r="A69" s="14">
        <f t="shared" si="0"/>
        <v>59</v>
      </c>
      <c r="B69" s="14"/>
      <c r="C69" s="41" t="s">
        <v>48</v>
      </c>
      <c r="D69" s="42">
        <f>'Allocation = % of margin'!D59</f>
        <v>0</v>
      </c>
      <c r="E69" s="42">
        <v>600000</v>
      </c>
      <c r="F69" s="52"/>
      <c r="G69" s="53"/>
      <c r="H69" s="8">
        <f>'Allocation = % of margin'!E59</f>
        <v>0.65288000000000002</v>
      </c>
      <c r="I69" s="9"/>
      <c r="J69" s="8">
        <v>0</v>
      </c>
      <c r="K69" s="8">
        <f>'Allocation = % of margin'!P59+H69-J69</f>
        <v>0.65444000000000002</v>
      </c>
      <c r="L69" s="9"/>
      <c r="M69" s="46"/>
      <c r="P69" s="8"/>
    </row>
    <row r="70" spans="1:16" x14ac:dyDescent="0.25">
      <c r="A70" s="14">
        <f t="shared" si="0"/>
        <v>60</v>
      </c>
      <c r="B70" s="14"/>
      <c r="C70" s="41" t="s">
        <v>49</v>
      </c>
      <c r="D70" s="42">
        <f>'Allocation = % of margin'!D60</f>
        <v>0</v>
      </c>
      <c r="E70" s="43" t="s">
        <v>76</v>
      </c>
      <c r="F70" s="52"/>
      <c r="G70" s="53"/>
      <c r="H70" s="8">
        <f>'Allocation = % of margin'!E60</f>
        <v>0.61117999999999995</v>
      </c>
      <c r="I70" s="9"/>
      <c r="J70" s="8">
        <v>0</v>
      </c>
      <c r="K70" s="8">
        <f>'Allocation = % of margin'!P60+H70-J70</f>
        <v>0.61176999999999992</v>
      </c>
      <c r="L70" s="9"/>
      <c r="M70" s="46"/>
      <c r="P70" s="8"/>
    </row>
    <row r="71" spans="1:16" x14ac:dyDescent="0.25">
      <c r="A71" s="14">
        <f t="shared" si="0"/>
        <v>61</v>
      </c>
      <c r="B71" s="40"/>
      <c r="C71" s="47" t="s">
        <v>77</v>
      </c>
      <c r="D71" s="48"/>
      <c r="E71" s="49"/>
      <c r="F71" s="50"/>
      <c r="G71" s="38"/>
      <c r="H71" s="51"/>
      <c r="I71" s="37">
        <f>$G65+ROUND(IF($F65&lt;$E65,($F65*H65),IF($F65&lt;SUM($E65:$E66),(($E65*H65)+(($F65-$E65)*H66)),IF($F65&lt;SUM($E65:$E67),(($E65*H65)+($E66*H66)+(($F65-$E65-$E66)*H67)),IF($F65&lt;SUM($E65:$E68),(($E65*H65)+($E66*H66)+($E67*H67)+(($F65-SUM($E65:$E67))*H68)),IF($F65&lt;SUM($E65:$E69),(($E65*H65)+($E66*H66)+($E67*H67)+($E68*H68)+(($F65-SUM($E65:$E68))*H69)),(($E65*H65)+($E66*H66)+($E67*H67)+($E68*H67)+($E69*H69)+(($F65-SUM($E65:$E69))*H70))))))),2)</f>
        <v>30497.35</v>
      </c>
      <c r="J71" s="51"/>
      <c r="K71" s="51"/>
      <c r="L71" s="38">
        <f>$G65+ROUND(IF($F65&lt;$E65,($F65*K65),IF($F65&lt;SUM($E65:$E66),(($E65*K65)+(($F65-$E65)*K66)),IF($F65&lt;SUM($E65:$E67),(($E65*K65)+($E66*K66)+(($F65-$E65-$E66)*K67)),IF($F65&lt;SUM($E65:$E68),(($E65*K65)+($E66*K66)+($E67*K67)+(($F65-SUM($E65:$E67))*K68)),IF($F65&lt;SUM($E65:$E69),(($E65*K65)+($E66*K66)+($E67*K67)+($E68*K68)+(($F65-SUM($E65:$E68))*K69)),(($E65*K65)+($E66*K66)+($E67*K67)+($E68*K67)+($E69*K69)+(($F65-SUM($E65:$E69))*K70))))))),2)</f>
        <v>30643.24</v>
      </c>
      <c r="M71" s="39">
        <f>(L71-I71)/I71</f>
        <v>4.7836943209820871E-3</v>
      </c>
      <c r="P71" s="8"/>
    </row>
    <row r="72" spans="1:16" x14ac:dyDescent="0.25">
      <c r="A72" s="14">
        <f t="shared" si="0"/>
        <v>62</v>
      </c>
      <c r="B72" s="14" t="s">
        <v>54</v>
      </c>
      <c r="C72" s="41" t="s">
        <v>40</v>
      </c>
      <c r="D72" s="42">
        <f>'Allocation = % of margin'!D61</f>
        <v>128853.19376431129</v>
      </c>
      <c r="E72" s="42">
        <v>10000</v>
      </c>
      <c r="F72" s="44">
        <v>18328</v>
      </c>
      <c r="G72" s="45">
        <f>'Allocation = % of margin'!J61</f>
        <v>1300</v>
      </c>
      <c r="H72" s="8">
        <f>'Allocation = % of margin'!E61</f>
        <v>0.75104999999999988</v>
      </c>
      <c r="I72" s="9"/>
      <c r="J72" s="8">
        <v>0</v>
      </c>
      <c r="K72" s="8">
        <f>'Allocation = % of margin'!P61+H72-J72</f>
        <v>0.75589999999999991</v>
      </c>
      <c r="L72" s="9"/>
      <c r="M72" s="46"/>
      <c r="P72" s="8"/>
    </row>
    <row r="73" spans="1:16" x14ac:dyDescent="0.25">
      <c r="A73" s="14">
        <f t="shared" si="0"/>
        <v>63</v>
      </c>
      <c r="B73" s="14"/>
      <c r="C73" s="41" t="s">
        <v>41</v>
      </c>
      <c r="D73" s="42">
        <f>'Allocation = % of margin'!D62</f>
        <v>91078.806235688724</v>
      </c>
      <c r="E73" s="42">
        <v>20000</v>
      </c>
      <c r="F73" s="44"/>
      <c r="G73" s="9"/>
      <c r="H73" s="8">
        <f>'Allocation = % of margin'!E62</f>
        <v>0.73375999999999997</v>
      </c>
      <c r="I73" s="9"/>
      <c r="J73" s="8">
        <v>0</v>
      </c>
      <c r="K73" s="8">
        <f>'Allocation = % of margin'!P62+H73-J73</f>
        <v>0.73809999999999998</v>
      </c>
      <c r="L73" s="9"/>
      <c r="M73" s="46"/>
      <c r="P73" s="8"/>
    </row>
    <row r="74" spans="1:16" x14ac:dyDescent="0.25">
      <c r="A74" s="14">
        <f t="shared" si="0"/>
        <v>64</v>
      </c>
      <c r="B74" s="14"/>
      <c r="C74" s="41" t="s">
        <v>46</v>
      </c>
      <c r="D74" s="42">
        <f>'Allocation = % of margin'!D63</f>
        <v>0</v>
      </c>
      <c r="E74" s="42">
        <v>20000</v>
      </c>
      <c r="F74" s="44"/>
      <c r="G74" s="9"/>
      <c r="H74" s="8">
        <f>'Allocation = % of margin'!E63</f>
        <v>0.69936000000000009</v>
      </c>
      <c r="I74" s="9"/>
      <c r="J74" s="8">
        <v>0</v>
      </c>
      <c r="K74" s="8">
        <f>'Allocation = % of margin'!P63+H74-J74</f>
        <v>0.70269000000000015</v>
      </c>
      <c r="L74" s="9"/>
      <c r="M74" s="46"/>
      <c r="P74" s="8"/>
    </row>
    <row r="75" spans="1:16" x14ac:dyDescent="0.25">
      <c r="A75" s="14">
        <f t="shared" ref="A75:A100" si="4">+A74+1</f>
        <v>65</v>
      </c>
      <c r="B75" s="14"/>
      <c r="C75" s="41" t="s">
        <v>47</v>
      </c>
      <c r="D75" s="42">
        <f>'Allocation = % of margin'!D64</f>
        <v>0</v>
      </c>
      <c r="E75" s="42">
        <v>100000</v>
      </c>
      <c r="F75" s="44"/>
      <c r="G75" s="9"/>
      <c r="H75" s="8">
        <f>'Allocation = % of margin'!E64</f>
        <v>0.6767099999999997</v>
      </c>
      <c r="I75" s="9"/>
      <c r="J75" s="8">
        <v>0</v>
      </c>
      <c r="K75" s="8">
        <f>'Allocation = % of margin'!P64+H75-J75</f>
        <v>0.6793699999999997</v>
      </c>
      <c r="L75" s="9"/>
      <c r="M75" s="46"/>
      <c r="P75" s="8"/>
    </row>
    <row r="76" spans="1:16" x14ac:dyDescent="0.25">
      <c r="A76" s="14">
        <f t="shared" si="4"/>
        <v>66</v>
      </c>
      <c r="B76" s="14"/>
      <c r="C76" s="41" t="s">
        <v>48</v>
      </c>
      <c r="D76" s="42">
        <f>'Allocation = % of margin'!D65</f>
        <v>0</v>
      </c>
      <c r="E76" s="42">
        <v>600000</v>
      </c>
      <c r="F76" s="44"/>
      <c r="G76" s="9"/>
      <c r="H76" s="8">
        <f>'Allocation = % of margin'!E65</f>
        <v>0.64652000000000009</v>
      </c>
      <c r="I76" s="9"/>
      <c r="J76" s="8">
        <v>0</v>
      </c>
      <c r="K76" s="8">
        <f>'Allocation = % of margin'!P65+H76-J76</f>
        <v>0.64829000000000014</v>
      </c>
      <c r="L76" s="9"/>
      <c r="M76" s="46"/>
      <c r="P76" s="8"/>
    </row>
    <row r="77" spans="1:16" x14ac:dyDescent="0.25">
      <c r="A77" s="14">
        <f t="shared" si="4"/>
        <v>67</v>
      </c>
      <c r="B77" s="14"/>
      <c r="C77" s="41" t="s">
        <v>49</v>
      </c>
      <c r="D77" s="42">
        <f>'Allocation = % of margin'!D66</f>
        <v>0</v>
      </c>
      <c r="E77" s="43" t="s">
        <v>76</v>
      </c>
      <c r="F77" s="44"/>
      <c r="G77" s="9"/>
      <c r="H77" s="8">
        <f>'Allocation = % of margin'!E66</f>
        <v>0.60878999999999994</v>
      </c>
      <c r="I77" s="9"/>
      <c r="J77" s="8">
        <v>0</v>
      </c>
      <c r="K77" s="8">
        <f>'Allocation = % of margin'!P66+H77-J77</f>
        <v>0.60945999999999989</v>
      </c>
      <c r="L77" s="9"/>
      <c r="M77" s="46"/>
      <c r="P77" s="8"/>
    </row>
    <row r="78" spans="1:16" x14ac:dyDescent="0.25">
      <c r="A78" s="14">
        <f t="shared" si="4"/>
        <v>68</v>
      </c>
      <c r="B78" s="40"/>
      <c r="C78" s="47" t="s">
        <v>77</v>
      </c>
      <c r="D78" s="48"/>
      <c r="E78" s="49"/>
      <c r="F78" s="50"/>
      <c r="G78" s="38"/>
      <c r="H78" s="51"/>
      <c r="I78" s="37">
        <f>$G72+ROUND(IF($F72&lt;$E72,($F72*H72),IF($F72&lt;SUM($E72:$E73),(($E72*H72)+(($F72-$E72)*H73)),IF($F72&lt;SUM($E72:$E74),(($E72*H72)+($E73*H73)+(($F72-$E72-$E73)*H74)),IF($F72&lt;SUM($E72:$E75),(($E72*H72)+($E73*H73)+($E74*H74)+(($F72-SUM($E72:$E74))*H75)),IF($F72&lt;SUM($E72:$E76),(($E72*H72)+($E73*H73)+($E74*H74)+($E75*H75)+(($F72-SUM($E72:$E75))*H76)),(($E72*H72)+($E73*H73)+($E74*H74)+($E75*H74)+($E76*H76)+(($F72-SUM($E72:$E76))*H77))))))),2)</f>
        <v>14921.25</v>
      </c>
      <c r="J78" s="51"/>
      <c r="K78" s="51"/>
      <c r="L78" s="38">
        <f>$G72+ROUND(IF($F72&lt;$E72,($F72*K72),IF($F72&lt;SUM($E72:$E73),(($E72*K72)+(($F72-$E72)*K73)),IF($F72&lt;SUM($E72:$E74),(($E72*K72)+($E73*K73)+(($F72-$E72-$E73)*K74)),IF($F72&lt;SUM($E72:$E75),(($E72*K72)+($E73*K73)+($E74*K74)+(($F72-SUM($E72:$E74))*K75)),IF($F72&lt;SUM($E72:$E76),(($E72*K72)+($E73*K73)+($E74*K74)+($E75*K75)+(($F72-SUM($E72:$E75))*K76)),(($E72*K72)+($E73*K73)+($E74*K74)+($E75*K74)+($E76*K76)+(($F72-SUM($E72:$E76))*K77))))))),2)</f>
        <v>15005.9</v>
      </c>
      <c r="M78" s="39">
        <f>(L78-I78)/I78</f>
        <v>5.6731171986260957E-3</v>
      </c>
      <c r="P78" s="8"/>
    </row>
    <row r="79" spans="1:16" x14ac:dyDescent="0.25">
      <c r="A79" s="14">
        <f t="shared" si="4"/>
        <v>69</v>
      </c>
      <c r="B79" s="14" t="s">
        <v>107</v>
      </c>
      <c r="C79" s="41" t="s">
        <v>40</v>
      </c>
      <c r="D79" s="42">
        <f>'Allocation = % of margin'!D67</f>
        <v>0</v>
      </c>
      <c r="E79" s="42">
        <v>10000</v>
      </c>
      <c r="F79" s="44">
        <v>0</v>
      </c>
      <c r="G79" s="45">
        <f>'Allocation = % of margin'!J67</f>
        <v>1550</v>
      </c>
      <c r="H79" s="8">
        <f>'Allocation = % of margin'!E67</f>
        <v>0.14294999999999999</v>
      </c>
      <c r="I79" s="9"/>
      <c r="J79" s="8">
        <v>0</v>
      </c>
      <c r="K79" s="8">
        <f>'Allocation = % of margin'!P67+H79-J79</f>
        <v>0.14649999999999999</v>
      </c>
      <c r="L79" s="9"/>
      <c r="M79" s="46"/>
      <c r="P79" s="8"/>
    </row>
    <row r="80" spans="1:16" x14ac:dyDescent="0.25">
      <c r="A80" s="14">
        <f t="shared" si="4"/>
        <v>70</v>
      </c>
      <c r="B80" s="14"/>
      <c r="C80" s="41" t="s">
        <v>41</v>
      </c>
      <c r="D80" s="42">
        <f>'Allocation = % of margin'!D68</f>
        <v>0</v>
      </c>
      <c r="E80" s="42">
        <v>20000</v>
      </c>
      <c r="F80" s="44"/>
      <c r="G80" s="9"/>
      <c r="H80" s="8">
        <f>'Allocation = % of margin'!E68</f>
        <v>0.12797</v>
      </c>
      <c r="I80" s="9"/>
      <c r="J80" s="8">
        <v>0</v>
      </c>
      <c r="K80" s="8">
        <f>'Allocation = % of margin'!P68+H80-J80</f>
        <v>0.13114999999999999</v>
      </c>
      <c r="L80" s="9"/>
      <c r="M80" s="46"/>
      <c r="P80" s="8"/>
    </row>
    <row r="81" spans="1:16" x14ac:dyDescent="0.25">
      <c r="A81" s="14">
        <f t="shared" si="4"/>
        <v>71</v>
      </c>
      <c r="B81" s="14"/>
      <c r="C81" s="41" t="s">
        <v>46</v>
      </c>
      <c r="D81" s="42">
        <f>'Allocation = % of margin'!D69</f>
        <v>0</v>
      </c>
      <c r="E81" s="42">
        <v>20000</v>
      </c>
      <c r="F81" s="44"/>
      <c r="G81" s="9"/>
      <c r="H81" s="8">
        <f>'Allocation = % of margin'!E69</f>
        <v>9.8129999999999995E-2</v>
      </c>
      <c r="I81" s="9"/>
      <c r="J81" s="8">
        <v>0</v>
      </c>
      <c r="K81" s="8">
        <f>'Allocation = % of margin'!P69+H81-J81</f>
        <v>0.10056999999999999</v>
      </c>
      <c r="L81" s="9"/>
      <c r="M81" s="46"/>
      <c r="P81" s="8"/>
    </row>
    <row r="82" spans="1:16" x14ac:dyDescent="0.25">
      <c r="A82" s="14">
        <f t="shared" si="4"/>
        <v>72</v>
      </c>
      <c r="B82" s="14"/>
      <c r="C82" s="41" t="s">
        <v>47</v>
      </c>
      <c r="D82" s="42">
        <f>'Allocation = % of margin'!D70</f>
        <v>0</v>
      </c>
      <c r="E82" s="42">
        <v>100000</v>
      </c>
      <c r="F82" s="44"/>
      <c r="G82" s="9"/>
      <c r="H82" s="8">
        <f>'Allocation = % of margin'!E70</f>
        <v>7.8509999999999996E-2</v>
      </c>
      <c r="I82" s="9"/>
      <c r="J82" s="8">
        <v>0</v>
      </c>
      <c r="K82" s="8">
        <f>'Allocation = % of margin'!P70+H82-J82</f>
        <v>8.045999999999999E-2</v>
      </c>
      <c r="L82" s="9"/>
      <c r="M82" s="46"/>
      <c r="P82" s="8"/>
    </row>
    <row r="83" spans="1:16" x14ac:dyDescent="0.25">
      <c r="A83" s="14">
        <f t="shared" si="4"/>
        <v>73</v>
      </c>
      <c r="B83" s="14"/>
      <c r="C83" s="41" t="s">
        <v>48</v>
      </c>
      <c r="D83" s="42">
        <f>'Allocation = % of margin'!D71</f>
        <v>0</v>
      </c>
      <c r="E83" s="42">
        <v>600000</v>
      </c>
      <c r="F83" s="44"/>
      <c r="G83" s="9"/>
      <c r="H83" s="8">
        <f>'Allocation = % of margin'!E71</f>
        <v>5.2350000000000001E-2</v>
      </c>
      <c r="I83" s="9"/>
      <c r="J83" s="8">
        <v>0</v>
      </c>
      <c r="K83" s="8">
        <f>'Allocation = % of margin'!P71+H83-J83</f>
        <v>5.3650000000000003E-2</v>
      </c>
      <c r="L83" s="9"/>
      <c r="M83" s="46"/>
      <c r="P83" s="8"/>
    </row>
    <row r="84" spans="1:16" x14ac:dyDescent="0.25">
      <c r="A84" s="14">
        <f t="shared" si="4"/>
        <v>74</v>
      </c>
      <c r="B84" s="14"/>
      <c r="C84" s="41" t="s">
        <v>49</v>
      </c>
      <c r="D84" s="42">
        <f>'Allocation = % of margin'!D72</f>
        <v>0</v>
      </c>
      <c r="E84" s="43" t="s">
        <v>76</v>
      </c>
      <c r="F84" s="44"/>
      <c r="G84" s="9"/>
      <c r="H84" s="8">
        <f>'Allocation = % of margin'!E72</f>
        <v>1.9609999999999999E-2</v>
      </c>
      <c r="I84" s="9"/>
      <c r="J84" s="8">
        <v>0</v>
      </c>
      <c r="K84" s="8">
        <f>'Allocation = % of margin'!P72+H84-J84</f>
        <v>2.01E-2</v>
      </c>
      <c r="L84" s="9"/>
      <c r="M84" s="46"/>
      <c r="P84" s="8"/>
    </row>
    <row r="85" spans="1:16" x14ac:dyDescent="0.25">
      <c r="A85" s="14">
        <f t="shared" si="4"/>
        <v>75</v>
      </c>
      <c r="B85" s="40"/>
      <c r="C85" s="47" t="s">
        <v>77</v>
      </c>
      <c r="D85" s="48"/>
      <c r="E85" s="49"/>
      <c r="F85" s="50"/>
      <c r="G85" s="38"/>
      <c r="H85" s="51"/>
      <c r="I85" s="37">
        <f>$G79+ROUND(IF($F79&lt;$E79,($F79*H79),IF($F79&lt;SUM($E79:$E80),(($E79*H79)+(($F79-$E79)*H80)),IF($F79&lt;SUM($E79:$E81),(($E79*H79)+($E80*H80)+(($F79-$E79-$E80)*H81)),IF($F79&lt;SUM($E79:$E82),(($E79*H79)+($E80*H80)+($E81*H81)+(($F79-SUM($E79:$E81))*H82)),IF($F79&lt;SUM($E79:$E83),(($E79*H79)+($E80*H80)+($E81*H81)+($E82*H82)+(($F79-SUM($E79:$E82))*H83)),(($E79*H79)+($E80*H80)+($E81*H81)+($E82*H81)+($E83*H83)+(($F79-SUM($E79:$E83))*H84))))))),2)</f>
        <v>1550</v>
      </c>
      <c r="J85" s="51"/>
      <c r="K85" s="51"/>
      <c r="L85" s="38">
        <f>$G79+ROUND(IF($F79&lt;$E79,($F79*K79),IF($F79&lt;SUM($E79:$E80),(($E79*K79)+(($F79-$E79)*K80)),IF($F79&lt;SUM($E79:$E81),(($E79*K79)+($E80*K80)+(($F79-$E79-$E80)*K81)),IF($F79&lt;SUM($E79:$E82),(($E79*K79)+($E80*K80)+($E81*K81)+(($F79-SUM($E79:$E81))*K82)),IF($F79&lt;SUM($E79:$E83),(($E79*K79)+($E80*K80)+($E81*K81)+($E82*K82)+(($F79-SUM($E79:$E82))*K83)),(($E79*K79)+($E80*K80)+($E81*K81)+($E82*K81)+($E83*K83)+(($F79-SUM($E79:$E83))*K84))))))),2)</f>
        <v>1550</v>
      </c>
      <c r="M85" s="39">
        <f>(L85-I85)/I85</f>
        <v>0</v>
      </c>
      <c r="P85" s="8"/>
    </row>
    <row r="86" spans="1:16" x14ac:dyDescent="0.25">
      <c r="A86" s="14">
        <f t="shared" si="4"/>
        <v>76</v>
      </c>
      <c r="B86" s="14" t="s">
        <v>108</v>
      </c>
      <c r="C86" s="41" t="s">
        <v>40</v>
      </c>
      <c r="D86" s="42">
        <f>'Allocation = % of margin'!D73</f>
        <v>830412.691773167</v>
      </c>
      <c r="E86" s="42">
        <v>10000</v>
      </c>
      <c r="F86" s="44">
        <v>65068</v>
      </c>
      <c r="G86" s="45">
        <f>'Allocation = % of margin'!J73</f>
        <v>1550</v>
      </c>
      <c r="H86" s="8">
        <f>'Allocation = % of margin'!E73</f>
        <v>0.14371999999999999</v>
      </c>
      <c r="I86" s="9"/>
      <c r="J86" s="8">
        <v>0</v>
      </c>
      <c r="K86" s="8">
        <f>'Allocation = % of margin'!P73+H86-J86</f>
        <v>0.14740999999999999</v>
      </c>
      <c r="L86" s="9"/>
      <c r="M86" s="46"/>
      <c r="P86" s="8"/>
    </row>
    <row r="87" spans="1:16" x14ac:dyDescent="0.25">
      <c r="A87" s="14">
        <f t="shared" si="4"/>
        <v>77</v>
      </c>
      <c r="B87" s="14"/>
      <c r="C87" s="41" t="s">
        <v>41</v>
      </c>
      <c r="D87" s="42">
        <f>'Allocation = % of margin'!D74</f>
        <v>1522701.1145343112</v>
      </c>
      <c r="E87" s="42">
        <v>20000</v>
      </c>
      <c r="F87" s="44"/>
      <c r="G87" s="9"/>
      <c r="H87" s="8">
        <f>'Allocation = % of margin'!E74</f>
        <v>0.12864999999999999</v>
      </c>
      <c r="I87" s="9"/>
      <c r="J87" s="8">
        <v>0</v>
      </c>
      <c r="K87" s="8">
        <f>'Allocation = % of margin'!P74+H87-J87</f>
        <v>0.13194999999999998</v>
      </c>
      <c r="L87" s="9"/>
      <c r="M87" s="46"/>
      <c r="P87" s="8"/>
    </row>
    <row r="88" spans="1:16" x14ac:dyDescent="0.25">
      <c r="A88" s="14">
        <f t="shared" si="4"/>
        <v>78</v>
      </c>
      <c r="B88" s="14"/>
      <c r="C88" s="41" t="s">
        <v>46</v>
      </c>
      <c r="D88" s="42">
        <f>'Allocation = % of margin'!D75</f>
        <v>1166628.4258088893</v>
      </c>
      <c r="E88" s="42">
        <v>20000</v>
      </c>
      <c r="F88" s="44"/>
      <c r="G88" s="9"/>
      <c r="H88" s="8">
        <f>'Allocation = % of margin'!E75</f>
        <v>9.8649999999999988E-2</v>
      </c>
      <c r="I88" s="9"/>
      <c r="J88" s="8">
        <v>0</v>
      </c>
      <c r="K88" s="8">
        <f>'Allocation = % of margin'!P75+H88-J88</f>
        <v>0.10117999999999999</v>
      </c>
      <c r="L88" s="9"/>
      <c r="M88" s="46"/>
      <c r="P88" s="8"/>
    </row>
    <row r="89" spans="1:16" x14ac:dyDescent="0.25">
      <c r="A89" s="14">
        <f t="shared" si="4"/>
        <v>79</v>
      </c>
      <c r="B89" s="14"/>
      <c r="C89" s="41" t="s">
        <v>47</v>
      </c>
      <c r="D89" s="42">
        <f>'Allocation = % of margin'!D76</f>
        <v>2984748.9545244905</v>
      </c>
      <c r="E89" s="42">
        <v>100000</v>
      </c>
      <c r="F89" s="44"/>
      <c r="G89" s="9"/>
      <c r="H89" s="8">
        <f>'Allocation = % of margin'!E76</f>
        <v>7.8939999999999996E-2</v>
      </c>
      <c r="I89" s="9"/>
      <c r="J89" s="8">
        <v>0</v>
      </c>
      <c r="K89" s="8">
        <f>'Allocation = % of margin'!P76+H89-J89</f>
        <v>8.097E-2</v>
      </c>
      <c r="L89" s="9"/>
      <c r="M89" s="46"/>
      <c r="P89" s="8"/>
    </row>
    <row r="90" spans="1:16" x14ac:dyDescent="0.25">
      <c r="A90" s="14">
        <f t="shared" si="4"/>
        <v>80</v>
      </c>
      <c r="B90" s="14"/>
      <c r="C90" s="41" t="s">
        <v>48</v>
      </c>
      <c r="D90" s="42">
        <f>'Allocation = % of margin'!D77</f>
        <v>1303638.2052591417</v>
      </c>
      <c r="E90" s="42">
        <v>600000</v>
      </c>
      <c r="F90" s="44"/>
      <c r="G90" s="9"/>
      <c r="H90" s="8">
        <f>'Allocation = % of margin'!E77</f>
        <v>5.2629999999999996E-2</v>
      </c>
      <c r="I90" s="9"/>
      <c r="J90" s="8">
        <v>0</v>
      </c>
      <c r="K90" s="8">
        <f>'Allocation = % of margin'!P77+H90-J90</f>
        <v>5.3979999999999993E-2</v>
      </c>
      <c r="L90" s="9"/>
      <c r="M90" s="46"/>
      <c r="P90" s="8"/>
    </row>
    <row r="91" spans="1:16" x14ac:dyDescent="0.25">
      <c r="A91" s="14">
        <f t="shared" si="4"/>
        <v>81</v>
      </c>
      <c r="B91" s="14"/>
      <c r="C91" s="41" t="s">
        <v>49</v>
      </c>
      <c r="D91" s="42">
        <f>'Allocation = % of margin'!D78</f>
        <v>0</v>
      </c>
      <c r="E91" s="43" t="s">
        <v>76</v>
      </c>
      <c r="F91" s="44"/>
      <c r="G91" s="9"/>
      <c r="H91" s="8">
        <f>'Allocation = % of margin'!E78</f>
        <v>1.9729999999999998E-2</v>
      </c>
      <c r="I91" s="9"/>
      <c r="J91" s="8">
        <v>0</v>
      </c>
      <c r="K91" s="8">
        <f>'Allocation = % of margin'!P78+H91-J91</f>
        <v>2.0239999999999998E-2</v>
      </c>
      <c r="L91" s="9"/>
      <c r="M91" s="46"/>
      <c r="P91" s="8"/>
    </row>
    <row r="92" spans="1:16" x14ac:dyDescent="0.25">
      <c r="A92" s="14">
        <f t="shared" si="4"/>
        <v>82</v>
      </c>
      <c r="B92" s="40"/>
      <c r="C92" s="47" t="s">
        <v>77</v>
      </c>
      <c r="D92" s="48"/>
      <c r="E92" s="49"/>
      <c r="F92" s="50"/>
      <c r="G92" s="38"/>
      <c r="H92" s="51"/>
      <c r="I92" s="37">
        <f>$G86+ROUND(IF($F86&lt;$E86,($F86*H86),IF($F86&lt;SUM($E86:$E87),(($E86*H86)+(($F86-$E86)*H87)),IF($F86&lt;SUM($E86:$E88),(($E86*H86)+($E87*H87)+(($F86-$E86-$E87)*H88)),IF($F86&lt;SUM($E86:$E89),(($E86*H86)+($E87*H87)+($E88*H88)+(($F86-SUM($E86:$E88))*H89)),IF($F86&lt;SUM($E86:$E90),(($E86*H86)+($E87*H87)+($E88*H88)+($E89*H89)+(($F86-SUM($E86:$E89))*H90)),(($E86*H86)+($E87*H87)+($E88*H88)+($E89*H88)+($E90*H90)+(($F86-SUM($E86:$E90))*H91))))))),2)</f>
        <v>8722.67</v>
      </c>
      <c r="J92" s="51"/>
      <c r="K92" s="51"/>
      <c r="L92" s="38">
        <f>$G86+ROUND(IF($F86&lt;$E86,($F86*K86),IF($F86&lt;SUM($E86:$E87),(($E86*K86)+(($F86-$E86)*K87)),IF($F86&lt;SUM($E86:$E88),(($E86*K86)+($E87*K87)+(($F86-$E86-$E87)*K88)),IF($F86&lt;SUM($E86:$E89),(($E86*K86)+($E87*K87)+($E88*K88)+(($F86-SUM($E86:$E88))*K89)),IF($F86&lt;SUM($E86:$E90),(($E86*K86)+($E87*K87)+($E88*K88)+($E89*K89)+(($F86-SUM($E86:$E89))*K90)),(($E86*K86)+($E87*K87)+($E88*K88)+($E89*K88)+($E90*K90)+(($F86-SUM($E86:$E90))*K91))))))),2)</f>
        <v>8906.76</v>
      </c>
      <c r="M92" s="55">
        <f>(L92-I92)/I92</f>
        <v>2.1104776404472499E-2</v>
      </c>
      <c r="P92" s="8"/>
    </row>
    <row r="93" spans="1:16" x14ac:dyDescent="0.25">
      <c r="A93" s="14">
        <f>+A85+1</f>
        <v>76</v>
      </c>
      <c r="B93" s="40" t="s">
        <v>55</v>
      </c>
      <c r="C93" s="40"/>
      <c r="D93" s="56">
        <v>0</v>
      </c>
      <c r="E93" s="57" t="s">
        <v>75</v>
      </c>
      <c r="F93" s="58">
        <v>0</v>
      </c>
      <c r="G93" s="59">
        <f>'Allocation = % of margin'!J79</f>
        <v>38000</v>
      </c>
      <c r="H93" s="60">
        <v>4.919999999999999E-3</v>
      </c>
      <c r="I93" s="37">
        <f>ROUND(+$G93+(H93*$F93),2)</f>
        <v>38000</v>
      </c>
      <c r="J93" s="36">
        <v>0</v>
      </c>
      <c r="K93" s="60">
        <f>'Allocation = % of margin'!P79+H93-J93</f>
        <v>5.0399999999999993E-3</v>
      </c>
      <c r="L93" s="38">
        <f>ROUND(+$G93+(K93*$F93),2)</f>
        <v>38000</v>
      </c>
      <c r="M93" s="61">
        <f>(L93-I93)/I93</f>
        <v>0</v>
      </c>
      <c r="P93" s="8"/>
    </row>
    <row r="94" spans="1:16" x14ac:dyDescent="0.25">
      <c r="A94" s="14">
        <f t="shared" si="4"/>
        <v>77</v>
      </c>
      <c r="B94" s="31" t="s">
        <v>56</v>
      </c>
      <c r="C94" s="31"/>
      <c r="D94" s="32">
        <v>0</v>
      </c>
      <c r="E94" s="57" t="s">
        <v>75</v>
      </c>
      <c r="F94" s="34">
        <v>0</v>
      </c>
      <c r="G94" s="59">
        <f>'Allocation = % of margin'!J80</f>
        <v>38000</v>
      </c>
      <c r="H94" s="36">
        <v>4.919999999999999E-3</v>
      </c>
      <c r="I94" s="37">
        <f>ROUND(+$G94+(H94*$F94),2)</f>
        <v>38000</v>
      </c>
      <c r="J94" s="36">
        <v>0</v>
      </c>
      <c r="K94" s="8">
        <f>'Allocation = % of margin'!P80+H94-J94</f>
        <v>5.0399999999999993E-3</v>
      </c>
      <c r="L94" s="38">
        <f>ROUND(+$G94+(K94*$F94),2)</f>
        <v>38000</v>
      </c>
      <c r="M94" s="39">
        <f>(L94-I94)/I94</f>
        <v>0</v>
      </c>
      <c r="P94" s="8"/>
    </row>
    <row r="95" spans="1:16" ht="15.75" thickBot="1" x14ac:dyDescent="0.3">
      <c r="A95" s="14">
        <f t="shared" si="4"/>
        <v>78</v>
      </c>
      <c r="B95" s="31" t="s">
        <v>57</v>
      </c>
      <c r="C95" s="31"/>
      <c r="D95" s="32"/>
      <c r="E95" s="57"/>
      <c r="F95" s="34"/>
      <c r="G95" s="62"/>
      <c r="H95" s="63"/>
      <c r="I95" s="64"/>
      <c r="J95" s="62"/>
      <c r="K95" s="64"/>
      <c r="L95" s="62"/>
      <c r="M95" s="65"/>
    </row>
    <row r="96" spans="1:16" ht="15" customHeight="1" x14ac:dyDescent="0.25">
      <c r="A96" s="14">
        <f t="shared" si="4"/>
        <v>79</v>
      </c>
      <c r="B96" s="152" t="s">
        <v>78</v>
      </c>
      <c r="C96" s="152"/>
      <c r="D96" s="152"/>
      <c r="E96" s="152"/>
      <c r="F96" s="152"/>
      <c r="G96" s="152"/>
      <c r="H96" s="152"/>
      <c r="I96" s="152"/>
      <c r="J96" s="152"/>
      <c r="K96" s="152"/>
      <c r="L96" s="152"/>
      <c r="M96" s="152"/>
    </row>
    <row r="97" spans="1:14" x14ac:dyDescent="0.25">
      <c r="A97" s="14">
        <f t="shared" si="4"/>
        <v>80</v>
      </c>
      <c r="B97" s="152"/>
      <c r="C97" s="152"/>
      <c r="D97" s="152"/>
      <c r="E97" s="152"/>
      <c r="F97" s="152"/>
      <c r="G97" s="152"/>
      <c r="H97" s="152"/>
      <c r="I97" s="152"/>
      <c r="J97" s="152"/>
      <c r="K97" s="152"/>
      <c r="L97" s="152"/>
      <c r="M97" s="152"/>
    </row>
    <row r="98" spans="1:14" ht="15" customHeight="1" x14ac:dyDescent="0.25">
      <c r="A98" s="14">
        <f t="shared" si="4"/>
        <v>81</v>
      </c>
      <c r="B98" s="153" t="s">
        <v>90</v>
      </c>
      <c r="C98" s="153"/>
      <c r="D98" s="153"/>
      <c r="E98" s="153"/>
      <c r="F98" s="153"/>
      <c r="G98" s="153"/>
      <c r="H98" s="153"/>
      <c r="I98" s="153"/>
      <c r="J98" s="153"/>
      <c r="K98" s="153"/>
      <c r="L98" s="153"/>
      <c r="M98" s="153"/>
    </row>
    <row r="99" spans="1:14" s="67" customFormat="1" ht="15.75" thickBot="1" x14ac:dyDescent="0.3">
      <c r="A99" s="14">
        <f t="shared" si="4"/>
        <v>82</v>
      </c>
      <c r="B99" s="66" t="s">
        <v>79</v>
      </c>
      <c r="C99" s="5"/>
      <c r="D99" s="5"/>
      <c r="E99" s="5"/>
      <c r="F99" s="6"/>
      <c r="G99" s="5"/>
      <c r="H99" s="5"/>
      <c r="I99" s="5"/>
      <c r="J99" s="5"/>
      <c r="K99" s="5"/>
      <c r="L99" s="5"/>
      <c r="M99" s="5"/>
      <c r="N99" s="5"/>
    </row>
    <row r="100" spans="1:14" s="67" customFormat="1" ht="15.75" thickBot="1" x14ac:dyDescent="0.3">
      <c r="A100" s="14">
        <f t="shared" si="4"/>
        <v>83</v>
      </c>
      <c r="B100" s="68" t="s">
        <v>80</v>
      </c>
      <c r="C100" s="69"/>
      <c r="D100" s="70"/>
      <c r="E100" s="70" t="s">
        <v>81</v>
      </c>
      <c r="F100" s="71"/>
      <c r="G100" s="70" t="s">
        <v>81</v>
      </c>
      <c r="H100" s="70"/>
      <c r="I100" s="70"/>
      <c r="J100" s="70"/>
      <c r="K100" s="70"/>
      <c r="L100" s="70"/>
      <c r="M100" s="70"/>
      <c r="N100" s="5"/>
    </row>
    <row r="101" spans="1:14" s="67" customFormat="1" x14ac:dyDescent="0.25">
      <c r="A101" s="14"/>
      <c r="B101" s="5"/>
      <c r="C101" s="5"/>
      <c r="D101" s="5"/>
      <c r="E101" s="5"/>
      <c r="F101" s="6"/>
      <c r="G101" s="5"/>
      <c r="H101" s="5"/>
      <c r="I101" s="5"/>
      <c r="J101" s="5"/>
      <c r="K101" s="5"/>
      <c r="L101" s="5"/>
      <c r="M101" s="5"/>
      <c r="N101" s="5"/>
    </row>
    <row r="102" spans="1:14" s="67" customFormat="1" x14ac:dyDescent="0.25">
      <c r="A102" s="14"/>
      <c r="B102" s="5"/>
      <c r="C102" s="5"/>
      <c r="D102" s="5"/>
      <c r="E102" s="5"/>
      <c r="F102" s="6"/>
      <c r="G102" s="5"/>
      <c r="H102" s="5"/>
      <c r="I102" s="5"/>
      <c r="J102" s="5"/>
      <c r="K102" s="5"/>
      <c r="L102" s="5"/>
      <c r="M102" s="5"/>
      <c r="N102" s="5"/>
    </row>
  </sheetData>
  <mergeCells count="2">
    <mergeCell ref="B96:M97"/>
    <mergeCell ref="B98:M98"/>
  </mergeCells>
  <pageMargins left="0.7" right="0.7" top="0.5" bottom="0.5" header="0.3" footer="0.3"/>
  <pageSetup scale="47" fitToWidth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9788C7E0BE6994D9881CAB3C14B3645" ma:contentTypeVersion="24" ma:contentTypeDescription="" ma:contentTypeScope="" ma:versionID="2674930b8fa6d0bdfdb32b56757459d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2023-09-12T07:00:00+00:00</OpenedDate>
    <SignificantOrder xmlns="dc463f71-b30c-4ab2-9473-d307f9d35888">false</SignificantOrder>
    <Date1 xmlns="dc463f71-b30c-4ab2-9473-d307f9d35888">2023-09-18T07:00:00+00:00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230739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C79DBCE2-D546-4D0F-BF26-E416D9FBB993}"/>
</file>

<file path=customXml/itemProps2.xml><?xml version="1.0" encoding="utf-8"?>
<ds:datastoreItem xmlns:ds="http://schemas.openxmlformats.org/officeDocument/2006/customXml" ds:itemID="{5F52E2F0-2B73-4432-A3AE-CBB35CC73A05}">
  <ds:schemaRefs>
    <ds:schemaRef ds:uri="http://purl.org/dc/terms/"/>
    <ds:schemaRef ds:uri="http://www.w3.org/XML/1998/namespace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092F02E-C020-4FA2-9FEF-ECDC4E16308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FDCDDF4-D4CB-418B-A2F2-46C6DB3FF6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Allocation = % of margin</vt:lpstr>
      <vt:lpstr>Avg Bill by RS</vt:lpstr>
      <vt:lpstr>'Allocation = % of margin'!Print_Area</vt:lpstr>
      <vt:lpstr>'Avg Bill by RS'!Print_Area</vt:lpstr>
      <vt:lpstr>'Allocation = % of margin'!Print_Titles</vt:lpstr>
      <vt:lpstr>'Avg Bill by RS'!Print_Titles</vt:lpstr>
    </vt:vector>
  </TitlesOfParts>
  <Company>NW Natural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Chao, Susan</dc:creator>
  <cp:lastModifiedBy>Walker, Kyle</cp:lastModifiedBy>
  <cp:lastPrinted>2023-09-18T18:46:33Z</cp:lastPrinted>
  <dcterms:created xsi:type="dcterms:W3CDTF">2021-07-08T23:42:43Z</dcterms:created>
  <dcterms:modified xsi:type="dcterms:W3CDTF">2023-09-18T18:52:44Z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0x0101006E56B4D1795A2E4DB2F0B01679ED314A0069788C7E0BE6994D9881CAB3C14B3645</vt:lpwstr>
  </property>
  <property fmtid="{D5CDD505-2E9C-101B-9397-08002B2CF9AE}" pid="3" name="_dlc_DocIdItemGuid">
    <vt:lpwstr>0fd8261d-aa66-4272-b8b4-e30f783e9b4b</vt:lpwstr>
  </property>
  <property fmtid="{D5CDD505-2E9C-101B-9397-08002B2CF9AE}" pid="4" name="_docset_NoMedatataSyncRequired">
    <vt:lpwstr>False</vt:lpwstr>
  </property>
</Properties>
</file>