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C2658214-ADA0-40C7-957D-C8F1B1622BB1}" xr6:coauthVersionLast="47" xr6:coauthVersionMax="47" xr10:uidLastSave="{00000000-0000-0000-0000-000000000000}"/>
  <bookViews>
    <workbookView xWindow="28680" yWindow="-90" windowWidth="29040" windowHeight="16440" firstSheet="1" activeTab="5" xr2:uid="{00000000-000D-0000-FFFF-FFFF00000000}"/>
  </bookViews>
  <sheets>
    <sheet name="4 13 22 Forecast Usage by Sched" sheetId="13" r:id="rId1"/>
    <sheet name="Electric 2023 Rate Calc" sheetId="4" r:id="rId2"/>
    <sheet name="Prior Year Amortization" sheetId="14" r:id="rId3"/>
    <sheet name="Earnings Test and 3% Test" sheetId="6" r:id="rId4"/>
    <sheet name="Conversion Factor" sheetId="2" r:id="rId5"/>
    <sheet name="Bill Impact" sheetId="15" r:id="rId6"/>
  </sheets>
  <definedNames>
    <definedName name="_xlnm.Print_Area" localSheetId="4">'Conversion Factor'!$A$1:$F$116</definedName>
    <definedName name="_xlnm.Print_Area" localSheetId="3">'Earnings Test and 3% Test'!$A$1:$H$65</definedName>
    <definedName name="_xlnm.Print_Area" localSheetId="1">'Electric 2023 Rate Calc'!$A$1:$L$80</definedName>
    <definedName name="_xlnm.Print_Area" localSheetId="2">'Prior Year Amortization'!$A$1:$I$37</definedName>
    <definedName name="_xlnm.Print_Titles" localSheetId="3">'Earnings Test and 3% Test'!$1:$4</definedName>
    <definedName name="_xlnm.Print_Titles" localSheetId="1">'Electric 2023 Rate Calc'!$1:$3</definedName>
    <definedName name="Z_5C6B1FA1_B621_4699_B8F7_5011E8FF1BCD_.wvu.PrintArea" localSheetId="4" hidden="1">'Conversion Factor'!$A$1:$F$116</definedName>
    <definedName name="Z_5C6B1FA1_B621_4699_B8F7_5011E8FF1BCD_.wvu.PrintArea" localSheetId="3" hidden="1">'Earnings Test and 3% Test'!$B$1:$H$64</definedName>
    <definedName name="Z_5C6B1FA1_B621_4699_B8F7_5011E8FF1BCD_.wvu.PrintArea" localSheetId="1" hidden="1">'Electric 2023 Rate Calc'!$B$1:$K$68</definedName>
    <definedName name="Z_5C6B1FA1_B621_4699_B8F7_5011E8FF1BCD_.wvu.PrintTitles" localSheetId="3" hidden="1">'Earnings Test and 3% Test'!$1:$4</definedName>
    <definedName name="Z_5C6B1FA1_B621_4699_B8F7_5011E8FF1BCD_.wvu.PrintTitles" localSheetId="1" hidden="1">'Electric 2023 Rate Calc'!$1:$3</definedName>
    <definedName name="Z_5C6B1FA1_B621_4699_B8F7_5011E8FF1BCD_.wvu.Rows" localSheetId="4" hidden="1">'Conversion Factor'!$1:$88</definedName>
    <definedName name="Z_6A207E9B_31ED_4215_AD4F_ABB2957B65E4_.wvu.PrintArea" localSheetId="4" hidden="1">'Conversion Factor'!$A$1:$F$116</definedName>
    <definedName name="Z_6A207E9B_31ED_4215_AD4F_ABB2957B65E4_.wvu.PrintArea" localSheetId="3" hidden="1">'Earnings Test and 3% Test'!$J$6:$T$47</definedName>
    <definedName name="Z_6A207E9B_31ED_4215_AD4F_ABB2957B65E4_.wvu.PrintArea" localSheetId="1" hidden="1">'Electric 2023 Rate Calc'!$B$1:$K$68</definedName>
    <definedName name="Z_6A207E9B_31ED_4215_AD4F_ABB2957B65E4_.wvu.PrintTitles" localSheetId="3" hidden="1">'Earnings Test and 3% Test'!$1:$4</definedName>
    <definedName name="Z_6A207E9B_31ED_4215_AD4F_ABB2957B65E4_.wvu.PrintTitles" localSheetId="1" hidden="1">'Electric 2023 Rate Calc'!$1:$3</definedName>
    <definedName name="Z_6A207E9B_31ED_4215_AD4F_ABB2957B65E4_.wvu.Rows" localSheetId="4" hidden="1">'Conversion Factor'!$1:$88</definedName>
  </definedNames>
  <calcPr calcId="191029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5" l="1"/>
  <c r="D15" i="15"/>
  <c r="D13" i="15"/>
  <c r="R8" i="13"/>
  <c r="D11" i="15"/>
  <c r="H11" i="15" s="1"/>
  <c r="C79" i="4"/>
  <c r="C78" i="4"/>
  <c r="D23" i="15" l="1"/>
  <c r="C77" i="4" l="1"/>
  <c r="C76" i="4"/>
  <c r="E22" i="4"/>
  <c r="J30" i="15" l="1"/>
  <c r="J29" i="15"/>
  <c r="R6" i="13" l="1"/>
  <c r="R7" i="13"/>
  <c r="R9" i="13"/>
  <c r="R10" i="13"/>
  <c r="R11" i="13"/>
  <c r="R12" i="13"/>
  <c r="R13" i="13"/>
  <c r="R14" i="13"/>
  <c r="R15" i="13"/>
  <c r="R16" i="13"/>
  <c r="R17" i="13"/>
  <c r="R18" i="13"/>
  <c r="R19" i="13"/>
  <c r="R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5" i="13"/>
  <c r="I73" i="4" l="1"/>
  <c r="D13" i="6"/>
  <c r="C73" i="4" l="1"/>
  <c r="L25" i="15" l="1"/>
  <c r="J31" i="15"/>
  <c r="E17" i="15" l="1"/>
  <c r="E15" i="15"/>
  <c r="E13" i="15"/>
  <c r="E11" i="15"/>
  <c r="D28" i="6" l="1"/>
  <c r="D26" i="6"/>
  <c r="D30" i="6" l="1"/>
  <c r="E26" i="6"/>
  <c r="E39" i="6" l="1"/>
  <c r="E106" i="2" l="1"/>
  <c r="D17" i="15" l="1"/>
  <c r="F57" i="4" l="1"/>
  <c r="A6" i="13" l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B26" i="14" l="1"/>
  <c r="G28" i="14"/>
  <c r="G31" i="14"/>
  <c r="G26" i="14"/>
  <c r="B10" i="14" l="1"/>
  <c r="B27" i="14" s="1"/>
  <c r="L52" i="4"/>
  <c r="L55" i="4"/>
  <c r="L49" i="4"/>
  <c r="F50" i="4"/>
  <c r="L50" i="4" s="1"/>
  <c r="B50" i="4"/>
  <c r="B51" i="4" s="1"/>
  <c r="B52" i="4" s="1"/>
  <c r="B53" i="4" s="1"/>
  <c r="B54" i="4" s="1"/>
  <c r="B55" i="4" s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57" i="4" l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F51" i="4"/>
  <c r="B11" i="14"/>
  <c r="J28" i="15"/>
  <c r="D25" i="15"/>
  <c r="L23" i="15"/>
  <c r="F17" i="15"/>
  <c r="F15" i="15"/>
  <c r="F13" i="15"/>
  <c r="F11" i="15"/>
  <c r="J32" i="15" l="1"/>
  <c r="F53" i="4"/>
  <c r="L51" i="4"/>
  <c r="B12" i="14"/>
  <c r="B28" i="14"/>
  <c r="F23" i="15"/>
  <c r="F25" i="15"/>
  <c r="F54" i="4" l="1"/>
  <c r="L53" i="4"/>
  <c r="B13" i="14"/>
  <c r="B29" i="14"/>
  <c r="L54" i="4" l="1"/>
  <c r="B14" i="14"/>
  <c r="B30" i="14"/>
  <c r="B15" i="14" l="1"/>
  <c r="B31" i="14"/>
  <c r="B16" i="14" l="1"/>
  <c r="B32" i="14"/>
  <c r="B17" i="14" l="1"/>
  <c r="B18" i="14" s="1"/>
  <c r="B33" i="14"/>
  <c r="B35" i="14" l="1"/>
  <c r="B19" i="14"/>
  <c r="F58" i="4"/>
  <c r="L57" i="4"/>
  <c r="B34" i="14"/>
  <c r="B36" i="14" l="1"/>
  <c r="B20" i="14"/>
  <c r="B37" i="14" s="1"/>
  <c r="F59" i="4"/>
  <c r="L58" i="4"/>
  <c r="F60" i="4" l="1"/>
  <c r="L59" i="4"/>
  <c r="G15" i="14"/>
  <c r="G12" i="14"/>
  <c r="G10" i="14"/>
  <c r="F61" i="4" l="1"/>
  <c r="L60" i="4"/>
  <c r="G13" i="14"/>
  <c r="G30" i="14" s="1"/>
  <c r="G29" i="14"/>
  <c r="G27" i="14"/>
  <c r="G16" i="14"/>
  <c r="G32" i="14"/>
  <c r="H56" i="4"/>
  <c r="H50" i="4"/>
  <c r="H51" i="4"/>
  <c r="H52" i="4"/>
  <c r="H53" i="4"/>
  <c r="H54" i="4"/>
  <c r="H55" i="4"/>
  <c r="H57" i="4"/>
  <c r="H58" i="4"/>
  <c r="H59" i="4"/>
  <c r="H60" i="4"/>
  <c r="H61" i="4"/>
  <c r="H62" i="4"/>
  <c r="H63" i="4"/>
  <c r="H64" i="4"/>
  <c r="H65" i="4"/>
  <c r="H66" i="4"/>
  <c r="H67" i="4"/>
  <c r="H68" i="4"/>
  <c r="H49" i="4"/>
  <c r="H46" i="4"/>
  <c r="H43" i="4"/>
  <c r="D39" i="6"/>
  <c r="G33" i="14" l="1"/>
  <c r="F62" i="4"/>
  <c r="L61" i="4"/>
  <c r="G34" i="14" l="1"/>
  <c r="G18" i="14"/>
  <c r="F63" i="4"/>
  <c r="L62" i="4"/>
  <c r="H3" i="4"/>
  <c r="H9" i="4"/>
  <c r="H10" i="4"/>
  <c r="H11" i="4"/>
  <c r="H12" i="4"/>
  <c r="H13" i="4"/>
  <c r="H14" i="4"/>
  <c r="H15" i="4"/>
  <c r="H16" i="4"/>
  <c r="H17" i="4"/>
  <c r="H18" i="4"/>
  <c r="H19" i="4"/>
  <c r="H20" i="4"/>
  <c r="H8" i="4"/>
  <c r="G35" i="14" l="1"/>
  <c r="G19" i="14"/>
  <c r="F64" i="4"/>
  <c r="L63" i="4"/>
  <c r="G41" i="6"/>
  <c r="G28" i="6"/>
  <c r="D29" i="14" l="1"/>
  <c r="G36" i="14"/>
  <c r="G20" i="14"/>
  <c r="G37" i="14" s="1"/>
  <c r="F65" i="4"/>
  <c r="L64" i="4"/>
  <c r="D30" i="2"/>
  <c r="F29" i="14" l="1"/>
  <c r="C30" i="14" s="1"/>
  <c r="F66" i="4"/>
  <c r="L65" i="4"/>
  <c r="D30" i="14" l="1"/>
  <c r="F30" i="14" s="1"/>
  <c r="F67" i="4"/>
  <c r="L66" i="4"/>
  <c r="H37" i="14"/>
  <c r="H20" i="14"/>
  <c r="H36" i="14"/>
  <c r="H19" i="14"/>
  <c r="H35" i="14"/>
  <c r="H18" i="14"/>
  <c r="C31" i="14" l="1"/>
  <c r="D31" i="14" s="1"/>
  <c r="F31" i="14" s="1"/>
  <c r="C32" i="14" s="1"/>
  <c r="D32" i="14" s="1"/>
  <c r="F32" i="14" s="1"/>
  <c r="C33" i="14" s="1"/>
  <c r="D33" i="14" s="1"/>
  <c r="K14" i="4"/>
  <c r="E15" i="4"/>
  <c r="E19" i="4"/>
  <c r="K19" i="4"/>
  <c r="E18" i="4"/>
  <c r="E12" i="4"/>
  <c r="E16" i="4"/>
  <c r="E20" i="4"/>
  <c r="K18" i="4"/>
  <c r="K16" i="4"/>
  <c r="K20" i="4"/>
  <c r="K15" i="4"/>
  <c r="K12" i="4"/>
  <c r="E13" i="4"/>
  <c r="E17" i="4"/>
  <c r="E14" i="4"/>
  <c r="K13" i="4"/>
  <c r="K17" i="4"/>
  <c r="K10" i="4"/>
  <c r="E11" i="4"/>
  <c r="K11" i="4"/>
  <c r="K9" i="4"/>
  <c r="K22" i="4" s="1"/>
  <c r="E10" i="4"/>
  <c r="E9" i="4"/>
  <c r="F68" i="4"/>
  <c r="L68" i="4" s="1"/>
  <c r="L67" i="4"/>
  <c r="F33" i="14" l="1"/>
  <c r="C34" i="14" s="1"/>
  <c r="J7" i="4"/>
  <c r="G30" i="6" l="1"/>
  <c r="H28" i="6" l="1"/>
  <c r="G35" i="6" s="1"/>
  <c r="H26" i="6"/>
  <c r="H30" i="6" l="1"/>
  <c r="G34" i="6"/>
  <c r="E28" i="6"/>
  <c r="E30" i="6" s="1"/>
  <c r="G36" i="6" l="1"/>
  <c r="D15" i="6" l="1"/>
  <c r="D17" i="6" s="1"/>
  <c r="G13" i="6"/>
  <c r="G15" i="6" s="1"/>
  <c r="G17" i="6" l="1"/>
  <c r="G19" i="6" s="1"/>
  <c r="H42" i="4" l="1"/>
  <c r="B42" i="4"/>
  <c r="D41" i="6"/>
  <c r="E41" i="6" l="1"/>
  <c r="G49" i="6" l="1"/>
  <c r="G59" i="6" l="1"/>
  <c r="E108" i="2" l="1"/>
  <c r="E114" i="2" s="1"/>
  <c r="E35" i="14" l="1"/>
  <c r="E18" i="14"/>
  <c r="D34" i="14"/>
  <c r="F34" i="14" s="1"/>
  <c r="C35" i="14" s="1"/>
  <c r="E19" i="14"/>
  <c r="E36" i="14"/>
  <c r="E37" i="14"/>
  <c r="E20" i="14"/>
  <c r="D27" i="4"/>
  <c r="J27" i="4" s="1"/>
  <c r="E110" i="2"/>
  <c r="E112" i="2" s="1"/>
  <c r="D18" i="6" s="1"/>
  <c r="D19" i="6" s="1"/>
  <c r="D21" i="6" s="1"/>
  <c r="D35" i="14" l="1"/>
  <c r="F35" i="14" s="1"/>
  <c r="C36" i="14" s="1"/>
  <c r="D36" i="14" s="1"/>
  <c r="F36" i="14" s="1"/>
  <c r="C37" i="14" s="1"/>
  <c r="D34" i="6"/>
  <c r="E34" i="6" s="1"/>
  <c r="D35" i="6"/>
  <c r="E77" i="2"/>
  <c r="E79" i="2" s="1"/>
  <c r="E87" i="2" s="1"/>
  <c r="D37" i="14" l="1"/>
  <c r="F37" i="14" s="1"/>
  <c r="E35" i="6"/>
  <c r="I47" i="4" s="1"/>
  <c r="D36" i="6"/>
  <c r="E81" i="2"/>
  <c r="E83" i="2" s="1"/>
  <c r="I56" i="4" l="1"/>
  <c r="I75" i="4" s="1"/>
  <c r="I48" i="4"/>
  <c r="J49" i="4" s="1"/>
  <c r="I49" i="4" s="1"/>
  <c r="J50" i="4" s="1"/>
  <c r="I74" i="4"/>
  <c r="C47" i="4"/>
  <c r="E36" i="6"/>
  <c r="I50" i="4" l="1"/>
  <c r="J51" i="4" s="1"/>
  <c r="C48" i="4"/>
  <c r="D49" i="4" s="1"/>
  <c r="C74" i="4"/>
  <c r="I51" i="4" l="1"/>
  <c r="J52" i="4" s="1"/>
  <c r="C49" i="4"/>
  <c r="D50" i="4" s="1"/>
  <c r="I52" i="4" l="1"/>
  <c r="J53" i="4" s="1"/>
  <c r="C50" i="4"/>
  <c r="D51" i="4" s="1"/>
  <c r="I53" i="4" l="1"/>
  <c r="J54" i="4" s="1"/>
  <c r="C51" i="4"/>
  <c r="E49" i="2"/>
  <c r="E51" i="2" s="1"/>
  <c r="E59" i="2" s="1"/>
  <c r="D52" i="4" l="1"/>
  <c r="C52" i="4" s="1"/>
  <c r="I54" i="4"/>
  <c r="J55" i="4" s="1"/>
  <c r="E53" i="2"/>
  <c r="E55" i="2" s="1"/>
  <c r="D53" i="4" l="1"/>
  <c r="C53" i="4" s="1"/>
  <c r="I55" i="4"/>
  <c r="I8" i="4" s="1"/>
  <c r="I7" i="4" s="1"/>
  <c r="D54" i="4" l="1"/>
  <c r="C54" i="4" s="1"/>
  <c r="D55" i="4" l="1"/>
  <c r="C55" i="4" s="1"/>
  <c r="E18" i="2"/>
  <c r="E20" i="2" s="1"/>
  <c r="E28" i="2" s="1"/>
  <c r="E22" i="2" l="1"/>
  <c r="E24" i="2" s="1"/>
  <c r="J9" i="4" l="1"/>
  <c r="I9" i="4" s="1"/>
  <c r="J10" i="4" s="1"/>
  <c r="I10" i="4" s="1"/>
  <c r="J11" i="4" s="1"/>
  <c r="I11" i="4" s="1"/>
  <c r="J12" i="4" s="1"/>
  <c r="I12" i="4" s="1"/>
  <c r="J13" i="4" s="1"/>
  <c r="I13" i="4" s="1"/>
  <c r="J14" i="4" s="1"/>
  <c r="I14" i="4" s="1"/>
  <c r="J15" i="4" s="1"/>
  <c r="I15" i="4" s="1"/>
  <c r="J16" i="4" s="1"/>
  <c r="I16" i="4" s="1"/>
  <c r="J17" i="4" s="1"/>
  <c r="I17" i="4" s="1"/>
  <c r="J18" i="4" s="1"/>
  <c r="I18" i="4" s="1"/>
  <c r="J19" i="4" s="1"/>
  <c r="I19" i="4" s="1"/>
  <c r="J20" i="4" s="1"/>
  <c r="I20" i="4" s="1"/>
  <c r="J25" i="4"/>
  <c r="H35" i="4" s="1"/>
  <c r="J22" i="4" l="1"/>
  <c r="J24" i="4" s="1"/>
  <c r="J26" i="4" s="1"/>
  <c r="J28" i="4" s="1"/>
  <c r="E43" i="6" l="1"/>
  <c r="E47" i="6" s="1"/>
  <c r="E49" i="6" l="1"/>
  <c r="E51" i="6" s="1"/>
  <c r="E53" i="6" s="1"/>
  <c r="E55" i="6" s="1"/>
  <c r="J29" i="4" l="1"/>
  <c r="J30" i="4" s="1"/>
  <c r="E57" i="6"/>
  <c r="I79" i="4" l="1"/>
  <c r="J31" i="4"/>
  <c r="K64" i="4" s="1"/>
  <c r="E59" i="6"/>
  <c r="E61" i="6" s="1"/>
  <c r="I13" i="15"/>
  <c r="H13" i="15" s="1"/>
  <c r="K30" i="4"/>
  <c r="I15" i="15" l="1"/>
  <c r="J13" i="15"/>
  <c r="K66" i="4"/>
  <c r="K67" i="4"/>
  <c r="K65" i="4"/>
  <c r="K62" i="4"/>
  <c r="K59" i="4"/>
  <c r="K60" i="4"/>
  <c r="K63" i="4"/>
  <c r="K68" i="4"/>
  <c r="K57" i="4"/>
  <c r="J57" i="4" s="1"/>
  <c r="K58" i="4"/>
  <c r="K61" i="4"/>
  <c r="I57" i="4" l="1"/>
  <c r="J58" i="4" s="1"/>
  <c r="G13" i="15"/>
  <c r="I17" i="15"/>
  <c r="H17" i="15" s="1"/>
  <c r="H15" i="15"/>
  <c r="J15" i="15"/>
  <c r="K70" i="4"/>
  <c r="G15" i="15" l="1"/>
  <c r="M15" i="15" s="1"/>
  <c r="H25" i="15"/>
  <c r="J17" i="15"/>
  <c r="G17" i="15"/>
  <c r="M17" i="15" s="1"/>
  <c r="M13" i="15"/>
  <c r="I58" i="4"/>
  <c r="J59" i="4" s="1"/>
  <c r="G25" i="15" l="1"/>
  <c r="M25" i="15" s="1"/>
  <c r="I59" i="4"/>
  <c r="J60" i="4" s="1"/>
  <c r="I60" i="4" l="1"/>
  <c r="J61" i="4" s="1"/>
  <c r="I61" i="4" l="1"/>
  <c r="J62" i="4" s="1"/>
  <c r="I62" i="4" l="1"/>
  <c r="J63" i="4" s="1"/>
  <c r="I63" i="4" l="1"/>
  <c r="J64" i="4" s="1"/>
  <c r="I64" i="4" l="1"/>
  <c r="J65" i="4" s="1"/>
  <c r="I65" i="4" l="1"/>
  <c r="J66" i="4" s="1"/>
  <c r="I66" i="4" l="1"/>
  <c r="J67" i="4" s="1"/>
  <c r="I67" i="4" l="1"/>
  <c r="J68" i="4" s="1"/>
  <c r="J70" i="4" l="1"/>
  <c r="I76" i="4" s="1"/>
  <c r="I68" i="4"/>
  <c r="I77" i="4" s="1"/>
  <c r="I78" i="4" l="1"/>
  <c r="I80" i="4" s="1"/>
  <c r="J32" i="4"/>
  <c r="D12" i="14" l="1"/>
  <c r="F12" i="14" s="1"/>
  <c r="C13" i="14" s="1"/>
  <c r="D13" i="14" l="1"/>
  <c r="F13" i="14" s="1"/>
  <c r="C14" i="14" s="1"/>
  <c r="D14" i="14" l="1"/>
  <c r="F14" i="14" s="1"/>
  <c r="C15" i="14" s="1"/>
  <c r="D15" i="14" l="1"/>
  <c r="F15" i="14" s="1"/>
  <c r="C16" i="14" s="1"/>
  <c r="D16" i="14" l="1"/>
  <c r="F16" i="14" s="1"/>
  <c r="C17" i="14" s="1"/>
  <c r="D17" i="14" l="1"/>
  <c r="F17" i="14" l="1"/>
  <c r="C18" i="14" s="1"/>
  <c r="D18" i="14" s="1"/>
  <c r="F18" i="14" s="1"/>
  <c r="C19" i="14" s="1"/>
  <c r="D19" i="14" l="1"/>
  <c r="F19" i="14" s="1"/>
  <c r="C20" i="14" s="1"/>
  <c r="D20" i="14" l="1"/>
  <c r="F20" i="14" s="1"/>
  <c r="C56" i="4" l="1"/>
  <c r="C8" i="4"/>
  <c r="C75" i="4"/>
  <c r="C7" i="4" l="1"/>
  <c r="D9" i="4" s="1"/>
  <c r="C9" i="4" l="1"/>
  <c r="D25" i="4"/>
  <c r="B35" i="4" s="1"/>
  <c r="D10" i="4"/>
  <c r="C10" i="4" s="1"/>
  <c r="D11" i="4" l="1"/>
  <c r="C11" i="4" s="1"/>
  <c r="D12" i="4" l="1"/>
  <c r="C12" i="4" s="1"/>
  <c r="D13" i="4" l="1"/>
  <c r="C13" i="4" s="1"/>
  <c r="D14" i="4" l="1"/>
  <c r="C14" i="4" s="1"/>
  <c r="D15" i="4" l="1"/>
  <c r="C15" i="4" s="1"/>
  <c r="D16" i="4" l="1"/>
  <c r="C16" i="4" s="1"/>
  <c r="D17" i="4" l="1"/>
  <c r="C17" i="4" s="1"/>
  <c r="D18" i="4" l="1"/>
  <c r="C18" i="4" s="1"/>
  <c r="D19" i="4" l="1"/>
  <c r="C19" i="4" s="1"/>
  <c r="D20" i="4" l="1"/>
  <c r="D22" i="4" l="1"/>
  <c r="D24" i="4" s="1"/>
  <c r="D26" i="4" s="1"/>
  <c r="D28" i="4" s="1"/>
  <c r="D43" i="6" s="1"/>
  <c r="C20" i="4"/>
  <c r="D47" i="6" l="1"/>
  <c r="D49" i="6" l="1"/>
  <c r="D51" i="6" s="1"/>
  <c r="D53" i="6" s="1"/>
  <c r="D55" i="6" s="1"/>
  <c r="D29" i="4" s="1"/>
  <c r="D32" i="4" s="1"/>
  <c r="D57" i="6" l="1"/>
  <c r="D59" i="6" s="1"/>
  <c r="D61" i="6" s="1"/>
  <c r="D30" i="4"/>
  <c r="D31" i="4" l="1"/>
  <c r="E68" i="4" s="1"/>
  <c r="E30" i="4"/>
  <c r="I11" i="15"/>
  <c r="G11" i="15" s="1"/>
  <c r="M11" i="15" s="1"/>
  <c r="E67" i="4" l="1"/>
  <c r="E61" i="4"/>
  <c r="E60" i="4"/>
  <c r="E66" i="4"/>
  <c r="E65" i="4"/>
  <c r="E62" i="4"/>
  <c r="E57" i="4"/>
  <c r="D57" i="4" s="1"/>
  <c r="E63" i="4"/>
  <c r="E59" i="4"/>
  <c r="E58" i="4"/>
  <c r="E64" i="4"/>
  <c r="J11" i="15"/>
  <c r="I33" i="15" s="1"/>
  <c r="J34" i="15" s="1"/>
  <c r="H23" i="15"/>
  <c r="E70" i="4" l="1"/>
  <c r="J35" i="15"/>
  <c r="C57" i="4"/>
  <c r="G23" i="15"/>
  <c r="M23" i="15" s="1"/>
  <c r="D58" i="4" l="1"/>
  <c r="C58" i="4" l="1"/>
  <c r="D59" i="4" s="1"/>
  <c r="C59" i="4" s="1"/>
  <c r="D60" i="4" l="1"/>
  <c r="C60" i="4" l="1"/>
  <c r="D61" i="4" l="1"/>
  <c r="C61" i="4" s="1"/>
  <c r="D62" i="4" l="1"/>
  <c r="C62" i="4" s="1"/>
  <c r="D63" i="4" l="1"/>
  <c r="C63" i="4" s="1"/>
  <c r="D64" i="4" l="1"/>
  <c r="C64" i="4" s="1"/>
  <c r="D65" i="4" l="1"/>
  <c r="C65" i="4" s="1"/>
  <c r="D66" i="4" l="1"/>
  <c r="C66" i="4" s="1"/>
  <c r="D67" i="4" l="1"/>
  <c r="C67" i="4" s="1"/>
  <c r="D68" i="4" l="1"/>
  <c r="D70" i="4" s="1"/>
  <c r="C68" i="4" l="1"/>
  <c r="C8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3996FAE9-F28D-4619-89FE-247D6736A767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  <comment ref="D11" authorId="0" shapeId="0" xr:uid="{E39C3103-6D37-4215-9CD5-1FD8E09073D0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kWhs
</t>
        </r>
      </text>
    </comment>
    <comment ref="L8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2021 normalized billing determinants at present billing rates effective 4/1/2022</t>
        </r>
      </text>
    </comment>
  </commentList>
</comments>
</file>

<file path=xl/sharedStrings.xml><?xml version="1.0" encoding="utf-8"?>
<sst xmlns="http://schemas.openxmlformats.org/spreadsheetml/2006/main" count="328" uniqueCount="201">
  <si>
    <t>Avista Utilities</t>
  </si>
  <si>
    <t>Calculation of Decoupling Mechanism Surcharge or Rebate Amortization Rates</t>
  </si>
  <si>
    <t>Date</t>
  </si>
  <si>
    <t>Interest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</si>
  <si>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</si>
  <si>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</si>
  <si>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</si>
  <si>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</si>
  <si>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</si>
  <si>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</si>
  <si>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</si>
  <si>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</si>
  <si>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</si>
  <si>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</si>
  <si>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</si>
  <si>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</si>
  <si>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</si>
  <si>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</si>
  <si>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</si>
  <si>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</si>
  <si>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</si>
  <si>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</si>
  <si>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</si>
  <si>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</si>
  <si>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</si>
  <si>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</si>
  <si>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</si>
  <si>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</si>
  <si>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</si>
  <si>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</si>
  <si>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</si>
  <si>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</si>
  <si>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</si>
  <si>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</si>
  <si>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</si>
  <si>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Twelve Months Ended September 30, 2015</t>
  </si>
  <si>
    <t>UE-160228 current GRC</t>
  </si>
  <si>
    <t>Gross Up Factor</t>
  </si>
  <si>
    <t>Residential Electric</t>
  </si>
  <si>
    <t>Non-Residential Electric</t>
  </si>
  <si>
    <t>Decoupling Mechanism Earnings Test and 3% Test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</si>
  <si>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</si>
  <si>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</si>
  <si>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</si>
  <si>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</si>
  <si>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</si>
  <si>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</si>
  <si>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</si>
  <si>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</si>
  <si>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</si>
  <si>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</si>
  <si>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</si>
  <si>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</si>
  <si>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</si>
  <si>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</si>
  <si>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</si>
  <si>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</si>
  <si>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</si>
  <si>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</si>
  <si>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</si>
  <si>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</si>
  <si>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</si>
  <si>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</si>
  <si>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</si>
  <si>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</si>
  <si>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</si>
  <si>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</si>
  <si>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</si>
  <si>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</si>
  <si>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</si>
  <si>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</si>
  <si>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</si>
  <si>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</si>
  <si>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</si>
  <si>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</si>
  <si>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</si>
  <si>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</si>
  <si>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 xml:space="preserve">  Non-Residential</t>
  </si>
  <si>
    <t>RES</t>
  </si>
  <si>
    <t>Non-RES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</si>
  <si>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</si>
  <si>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</si>
  <si>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</si>
  <si>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</si>
  <si>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</si>
  <si>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</si>
  <si>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</si>
  <si>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</si>
  <si>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</si>
  <si>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</si>
  <si>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</si>
  <si>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Line No.</t>
  </si>
  <si>
    <t xml:space="preserve">Total 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</si>
  <si>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</si>
  <si>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</si>
  <si>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</si>
  <si>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</si>
  <si>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</si>
  <si>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</si>
  <si>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</si>
  <si>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</si>
  <si>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</si>
  <si>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</si>
  <si>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</si>
  <si>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</si>
  <si>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</si>
  <si>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</si>
  <si>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>Add Revenue Related Expense Adj.</t>
  </si>
  <si>
    <t>Net of Revenue Related Expenses</t>
  </si>
  <si>
    <t>Gross Revenue Adjustment</t>
  </si>
  <si>
    <t>Residential</t>
  </si>
  <si>
    <t>Non-Residential</t>
  </si>
  <si>
    <t>Decoupling Mechanism Prior Surcharge or Rebate Amortization</t>
  </si>
  <si>
    <t>Regulatory Asset Ending Balance</t>
  </si>
  <si>
    <t>Residential Electric Surcharge</t>
  </si>
  <si>
    <t>Regulatory Asset Beginning Balance</t>
  </si>
  <si>
    <t>Interest Rate</t>
  </si>
  <si>
    <t>See pages 6 and 7 of Attachment A for earnings test and 3% test adjustment calculations.</t>
  </si>
  <si>
    <t>See page 4 of Attachment A for estimated carryover balance calculations.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</si>
  <si>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</si>
  <si>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</si>
  <si>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</si>
  <si>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</si>
  <si>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</si>
  <si>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</si>
  <si>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</si>
  <si>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</si>
  <si>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</si>
  <si>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</si>
  <si>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</si>
  <si>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</si>
  <si>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</si>
  <si>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</si>
  <si>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</si>
  <si>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</si>
  <si>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</si>
  <si>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</si>
  <si>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</si>
  <si>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</si>
  <si>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</si>
  <si>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</si>
  <si>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</si>
  <si>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</si>
  <si>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</si>
  <si>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</si>
  <si>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1/2</t>
  </si>
  <si>
    <t>General Service</t>
  </si>
  <si>
    <t>Large General Service</t>
  </si>
  <si>
    <t>Pumping Service</t>
  </si>
  <si>
    <t>30/31/32</t>
  </si>
  <si>
    <t>Extra Large General Service</t>
  </si>
  <si>
    <t>N/A</t>
  </si>
  <si>
    <t>ST &amp; Area Lighting</t>
  </si>
  <si>
    <t>41 - 48</t>
  </si>
  <si>
    <t>Non-Residential Group Sub-Totals</t>
  </si>
  <si>
    <t xml:space="preserve">Average Residential Bill </t>
  </si>
  <si>
    <t>Basic Charge</t>
  </si>
  <si>
    <t>First 800 kWhs</t>
  </si>
  <si>
    <t>Next 700 kWhs</t>
  </si>
  <si>
    <t>Over 1,500 kWhs</t>
  </si>
  <si>
    <t>Proposed rate change</t>
  </si>
  <si>
    <t>Residential Bill at Proposed rates</t>
  </si>
  <si>
    <t>Proposed Percent Decrease</t>
  </si>
  <si>
    <t>Non-Residential Electric Surcharge</t>
  </si>
  <si>
    <t>Incr./(Decr.)</t>
  </si>
  <si>
    <t xml:space="preserve">  Federal Income Tax @ 21%</t>
  </si>
  <si>
    <t>Electric Service</t>
  </si>
  <si>
    <t>May - July Forecast Usage</t>
  </si>
  <si>
    <t xml:space="preserve">Prior Year Carryover Balance </t>
  </si>
  <si>
    <t>Add Prior Year Carryover Balance</t>
  </si>
  <si>
    <t xml:space="preserve">Present Decoupling Surcharge Recovery Rates </t>
  </si>
  <si>
    <t>11/12/13</t>
  </si>
  <si>
    <t>21/22/23</t>
  </si>
  <si>
    <t xml:space="preserve">     Total Requested Rebate</t>
  </si>
  <si>
    <t>Customer Rebate Revenue</t>
  </si>
  <si>
    <t>(2)  The carryover balances will differ from the 3% adjustment amounts due to the revenue related expense gross up partially offset by additional interest on the outstanding balance during the amortization period.</t>
  </si>
  <si>
    <t>Residential Bill at 4/1/2022 rates</t>
  </si>
  <si>
    <t>Bill Determinant</t>
  </si>
  <si>
    <t xml:space="preserve"> @932 kWhs</t>
  </si>
  <si>
    <t>3% Test Adjustment (Note 2)</t>
  </si>
  <si>
    <t>Docket No. UE-200900</t>
  </si>
  <si>
    <t>2021 Total Earnings Test Sharing</t>
  </si>
  <si>
    <t>Revenue From 2021 Normalized Loads and Customers at Present Billing Rates</t>
  </si>
  <si>
    <t>Revenue From 2021 Normalized Loads and Customers at Present Billing Rates (Note 1)</t>
  </si>
  <si>
    <t>August 2022 - July 2023 Usage (kWhs)</t>
  </si>
  <si>
    <t>WA002</t>
  </si>
  <si>
    <t>WA013</t>
  </si>
  <si>
    <t>WA023</t>
  </si>
  <si>
    <t>WA025P</t>
  </si>
  <si>
    <t>EREV April Mid-month_4 12 23 v2 Load Update</t>
  </si>
  <si>
    <t>Effective August 1, 2023 - July 31, 2024</t>
  </si>
  <si>
    <t>Calculate Estimated Monthly Balances through July 2024</t>
  </si>
  <si>
    <t>2022 Washington Electric Deferrals</t>
  </si>
  <si>
    <t>Add Interest through 7/31/2024</t>
  </si>
  <si>
    <t>Effective August 1, 2022 - July 31, 2023</t>
  </si>
  <si>
    <t>TWELVE MONTHS ENDED September 30, 2021</t>
  </si>
  <si>
    <t>2022 Commission Basis Earnings Test for Decoupling</t>
  </si>
  <si>
    <t>(1)  Revenue from 2022 normalized loads and customers at present billing rates effective since December 21, 2022.</t>
  </si>
  <si>
    <t>2022 Deferred Revenue</t>
  </si>
  <si>
    <t>2023 Decoupling Schedule 75 Filing</t>
  </si>
  <si>
    <t>2022 General Rate Case conversion factor, see page 8 of  Attachment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</si>
</sst>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  <numFmt numFmtId="175" formatCode="_(* #,##0.00000_);_(* \(#,##0.00000\);_(* &quot;-&quot;??_);_(@_)"/>
    <numFmt numFmtId="176" formatCode="_(* #,##0.0000_);_(* \(#,##0.00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0000FF"/>
      <name val="Times New Roman"/>
      <family val="1"/>
    </font>
    <font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0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166" fontId="6" fillId="3" borderId="3" xfId="0" applyNumberFormat="1" applyFont="1" applyFill="1" applyBorder="1"/>
    <xf numFmtId="166" fontId="6" fillId="0" borderId="5" xfId="0" applyNumberFormat="1" applyFont="1" applyBorder="1"/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1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applyFont="1" applyAlignme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Fill="1"/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44" fontId="0" fillId="0" borderId="0" xfId="0" applyNumberFormat="1"/>
    <xf numFmtId="7" fontId="0" fillId="0" borderId="0" xfId="0" applyNumberFormat="1" applyBorder="1"/>
    <xf numFmtId="17" fontId="9" fillId="0" borderId="0" xfId="0" applyNumberFormat="1" applyFont="1" applyBorder="1" applyAlignment="1">
      <alignment horizontal="right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16" fontId="8" fillId="0" borderId="0" xfId="0" quotePrefix="1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horizontal="left" indent="3"/>
    </xf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0" fontId="0" fillId="0" borderId="0" xfId="0" applyFill="1" applyBorder="1" applyAlignment="1">
      <alignment horizontal="center" wrapText="1"/>
    </xf>
    <xf numFmtId="10" fontId="0" fillId="0" borderId="0" xfId="0" applyNumberFormat="1" applyBorder="1"/>
    <xf numFmtId="37" fontId="9" fillId="0" borderId="0" xfId="0" applyNumberFormat="1" applyFont="1"/>
    <xf numFmtId="169" fontId="9" fillId="0" borderId="0" xfId="0" applyNumberFormat="1" applyFont="1"/>
    <xf numFmtId="169" fontId="9" fillId="0" borderId="0" xfId="0" applyNumberFormat="1" applyFont="1" applyFill="1"/>
    <xf numFmtId="10" fontId="9" fillId="0" borderId="0" xfId="2" applyNumberFormat="1" applyFont="1" applyFill="1"/>
    <xf numFmtId="0" fontId="12" fillId="0" borderId="0" xfId="0" applyFont="1"/>
    <xf numFmtId="0" fontId="12" fillId="0" borderId="0" xfId="0" quotePrefix="1" applyFont="1" applyAlignment="1">
      <alignment horizontal="center"/>
    </xf>
    <xf numFmtId="169" fontId="9" fillId="0" borderId="0" xfId="5" applyNumberFormat="1" applyFont="1"/>
    <xf numFmtId="169" fontId="9" fillId="0" borderId="0" xfId="5" applyNumberFormat="1" applyFont="1" applyFill="1"/>
    <xf numFmtId="172" fontId="9" fillId="0" borderId="0" xfId="0" applyNumberFormat="1" applyFont="1"/>
    <xf numFmtId="10" fontId="18" fillId="0" borderId="0" xfId="0" applyNumberFormat="1" applyFont="1"/>
    <xf numFmtId="7" fontId="0" fillId="0" borderId="0" xfId="5" applyNumberFormat="1" applyFont="1" applyFill="1"/>
    <xf numFmtId="0" fontId="0" fillId="0" borderId="0" xfId="0" applyAlignment="1">
      <alignment horizontal="center" wrapText="1"/>
    </xf>
    <xf numFmtId="44" fontId="9" fillId="0" borderId="4" xfId="0" applyNumberFormat="1" applyFont="1" applyBorder="1"/>
    <xf numFmtId="10" fontId="14" fillId="0" borderId="0" xfId="0" applyNumberFormat="1" applyFont="1" applyFill="1"/>
    <xf numFmtId="166" fontId="6" fillId="0" borderId="0" xfId="0" applyNumberFormat="1" applyFont="1" applyFill="1" applyBorder="1"/>
    <xf numFmtId="43" fontId="0" fillId="0" borderId="0" xfId="0" applyNumberFormat="1"/>
    <xf numFmtId="175" fontId="0" fillId="0" borderId="0" xfId="0" applyNumberFormat="1"/>
    <xf numFmtId="10" fontId="14" fillId="0" borderId="0" xfId="0" applyNumberFormat="1" applyFont="1" applyFill="1" applyBorder="1" applyAlignment="1">
      <alignment horizontal="center" wrapText="1"/>
    </xf>
    <xf numFmtId="10" fontId="14" fillId="0" borderId="0" xfId="0" applyNumberFormat="1" applyFont="1" applyBorder="1" applyAlignment="1">
      <alignment horizontal="center" wrapText="1"/>
    </xf>
    <xf numFmtId="17" fontId="14" fillId="0" borderId="0" xfId="0" applyNumberFormat="1" applyFont="1" applyBorder="1"/>
    <xf numFmtId="169" fontId="18" fillId="0" borderId="0" xfId="0" applyNumberFormat="1" applyFont="1" applyFill="1"/>
    <xf numFmtId="5" fontId="14" fillId="0" borderId="0" xfId="0" applyNumberFormat="1" applyFont="1" applyFill="1" applyBorder="1"/>
    <xf numFmtId="44" fontId="14" fillId="0" borderId="0" xfId="5" applyNumberFormat="1" applyFont="1" applyFill="1"/>
    <xf numFmtId="169" fontId="14" fillId="0" borderId="0" xfId="0" applyNumberFormat="1" applyFont="1" applyFill="1"/>
    <xf numFmtId="169" fontId="14" fillId="0" borderId="0" xfId="5" applyNumberFormat="1" applyFont="1" applyFill="1"/>
    <xf numFmtId="170" fontId="14" fillId="0" borderId="0" xfId="0" applyNumberFormat="1" applyFont="1" applyFill="1"/>
    <xf numFmtId="166" fontId="19" fillId="0" borderId="0" xfId="0" applyNumberFormat="1" applyFont="1" applyFill="1" applyBorder="1"/>
    <xf numFmtId="172" fontId="20" fillId="0" borderId="0" xfId="5" applyNumberFormat="1" applyFont="1" applyFill="1"/>
    <xf numFmtId="172" fontId="8" fillId="0" borderId="0" xfId="5" applyNumberFormat="1" applyFont="1" applyFill="1"/>
    <xf numFmtId="164" fontId="0" fillId="0" borderId="0" xfId="5" applyNumberFormat="1" applyFont="1"/>
    <xf numFmtId="171" fontId="0" fillId="0" borderId="0" xfId="0" applyNumberFormat="1" applyFill="1"/>
    <xf numFmtId="7" fontId="14" fillId="0" borderId="0" xfId="5" applyNumberFormat="1" applyFont="1" applyFill="1"/>
    <xf numFmtId="169" fontId="21" fillId="0" borderId="0" xfId="5" applyNumberFormat="1" applyFont="1" applyFill="1"/>
    <xf numFmtId="169" fontId="21" fillId="0" borderId="0" xfId="0" applyNumberFormat="1" applyFont="1"/>
    <xf numFmtId="17" fontId="0" fillId="0" borderId="0" xfId="0" applyNumberFormat="1" applyFill="1" applyBorder="1"/>
    <xf numFmtId="17" fontId="14" fillId="0" borderId="0" xfId="0" applyNumberFormat="1" applyFont="1" applyFill="1" applyBorder="1"/>
    <xf numFmtId="0" fontId="9" fillId="0" borderId="0" xfId="0" applyFont="1" applyFill="1" applyAlignment="1"/>
    <xf numFmtId="10" fontId="14" fillId="0" borderId="0" xfId="2" applyNumberFormat="1" applyFont="1" applyFill="1"/>
    <xf numFmtId="164" fontId="22" fillId="0" borderId="0" xfId="5" applyNumberFormat="1" applyFont="1"/>
    <xf numFmtId="169" fontId="0" fillId="0" borderId="0" xfId="0" applyNumberFormat="1" applyFill="1"/>
    <xf numFmtId="10" fontId="0" fillId="0" borderId="0" xfId="2" applyNumberFormat="1" applyFont="1" applyFill="1"/>
    <xf numFmtId="169" fontId="0" fillId="0" borderId="0" xfId="0" applyNumberFormat="1" applyFill="1" applyAlignment="1">
      <alignment horizontal="center"/>
    </xf>
    <xf numFmtId="10" fontId="14" fillId="0" borderId="0" xfId="0" applyNumberFormat="1" applyFont="1"/>
    <xf numFmtId="7" fontId="0" fillId="0" borderId="0" xfId="0" applyNumberFormat="1" applyFill="1" applyBorder="1"/>
    <xf numFmtId="44" fontId="0" fillId="0" borderId="0" xfId="0" applyNumberFormat="1" applyFill="1"/>
    <xf numFmtId="176" fontId="0" fillId="0" borderId="0" xfId="0" applyNumberFormat="1" applyBorder="1"/>
    <xf numFmtId="0" fontId="13" fillId="0" borderId="0" xfId="0" applyFont="1" applyFill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Border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quotePrefix="1" applyFill="1" applyBorder="1" applyAlignment="1">
      <alignment horizontal="justify" wrapText="1"/>
    </xf>
    <xf numFmtId="0" fontId="0" fillId="0" borderId="0" xfId="0" quotePrefix="1" applyBorder="1" applyAlignment="1">
      <alignment horizontal="justify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quotePrefix="1" applyFill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 xr:uid="{00000000-0005-0000-0000-000004000000}"/>
    <cellStyle name="Normal 2 2" xfId="4" xr:uid="{00000000-0005-0000-0000-000005000000}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2"/>
  <sheetViews>
    <sheetView workbookViewId="0">
      <selection sqref="A1:A2"/>
    </sheetView>
  </sheetViews>
  <sheetFormatPr defaultRowHeight="14.5" outlineLevelCol="1" x14ac:dyDescent="0.35"/>
  <cols>
    <col min="2" max="2" width="2.7265625" customWidth="1"/>
    <col min="3" max="4" width="13.453125" customWidth="1" outlineLevel="1"/>
    <col min="5" max="5" width="12.26953125" customWidth="1" outlineLevel="1"/>
    <col min="6" max="7" width="11.81640625" customWidth="1" outlineLevel="1"/>
    <col min="8" max="8" width="14.1796875" customWidth="1" outlineLevel="1"/>
    <col min="9" max="10" width="10.54296875" customWidth="1" outlineLevel="1"/>
    <col min="11" max="11" width="12" customWidth="1" outlineLevel="1"/>
    <col min="12" max="13" width="11.81640625" customWidth="1" outlineLevel="1"/>
    <col min="14" max="15" width="11.54296875" customWidth="1" outlineLevel="1"/>
    <col min="16" max="16" width="2.54296875" customWidth="1"/>
    <col min="17" max="18" width="14.26953125" bestFit="1" customWidth="1"/>
    <col min="20" max="34" width="16" bestFit="1" customWidth="1"/>
    <col min="35" max="35" width="11.26953125" bestFit="1" customWidth="1"/>
  </cols>
  <sheetData>
    <row r="1" spans="1:35" x14ac:dyDescent="0.35">
      <c r="A1" s="168"/>
      <c r="B1" s="65" t="s">
        <v>189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35" x14ac:dyDescent="0.35">
      <c r="A2" s="168"/>
      <c r="B2" t="s">
        <v>177</v>
      </c>
    </row>
    <row r="3" spans="1:35" ht="14.5" customHeight="1" x14ac:dyDescent="0.35">
      <c r="A3" s="63"/>
      <c r="C3" s="68" t="s">
        <v>80</v>
      </c>
      <c r="D3" s="68"/>
      <c r="Q3" s="169" t="s">
        <v>81</v>
      </c>
      <c r="R3" s="17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</row>
    <row r="4" spans="1:35" x14ac:dyDescent="0.35">
      <c r="C4" s="69" t="s">
        <v>82</v>
      </c>
      <c r="D4" s="99" t="s">
        <v>185</v>
      </c>
      <c r="E4" s="69" t="s">
        <v>83</v>
      </c>
      <c r="F4" s="69" t="s">
        <v>84</v>
      </c>
      <c r="G4" s="99" t="s">
        <v>186</v>
      </c>
      <c r="H4" s="69" t="s">
        <v>85</v>
      </c>
      <c r="I4" s="69" t="s">
        <v>86</v>
      </c>
      <c r="J4" s="99" t="s">
        <v>187</v>
      </c>
      <c r="K4" s="69" t="s">
        <v>87</v>
      </c>
      <c r="L4" s="69" t="s">
        <v>88</v>
      </c>
      <c r="M4" s="69" t="s">
        <v>89</v>
      </c>
      <c r="N4" s="69" t="s">
        <v>90</v>
      </c>
      <c r="O4" s="99" t="s">
        <v>188</v>
      </c>
      <c r="Q4" s="66" t="s">
        <v>78</v>
      </c>
      <c r="R4" s="67" t="s">
        <v>79</v>
      </c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</row>
    <row r="5" spans="1:35" x14ac:dyDescent="0.35">
      <c r="A5" s="152">
        <v>45047</v>
      </c>
      <c r="B5" s="65"/>
      <c r="C5" s="87">
        <v>163055875.97490433</v>
      </c>
      <c r="D5" s="87">
        <v>718299.63488093694</v>
      </c>
      <c r="E5" s="87">
        <v>44551841.639498867</v>
      </c>
      <c r="F5" s="87">
        <v>4479951.5816636179</v>
      </c>
      <c r="G5" s="87">
        <v>14955.547456357652</v>
      </c>
      <c r="H5" s="87">
        <v>105037628.51501413</v>
      </c>
      <c r="I5" s="87">
        <v>2067298.6617218743</v>
      </c>
      <c r="J5" s="87">
        <v>33848.594962835617</v>
      </c>
      <c r="K5" s="87">
        <v>49004982</v>
      </c>
      <c r="L5" s="87">
        <v>11870564.657595683</v>
      </c>
      <c r="M5" s="87">
        <v>780291.24989637197</v>
      </c>
      <c r="N5" s="87">
        <v>1305319.0584098492</v>
      </c>
      <c r="O5" s="87">
        <v>35069988</v>
      </c>
      <c r="P5" s="65"/>
      <c r="Q5" s="87">
        <f>SUM(C5:D5)</f>
        <v>163774175.60978526</v>
      </c>
      <c r="R5" s="87">
        <f>SUM(E5:J5,L5:M5)</f>
        <v>168836380.44780976</v>
      </c>
      <c r="T5" s="49"/>
      <c r="U5" s="49"/>
      <c r="V5" s="49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</row>
    <row r="6" spans="1:35" x14ac:dyDescent="0.35">
      <c r="A6" s="152">
        <f>A5+31</f>
        <v>45078</v>
      </c>
      <c r="B6" s="65"/>
      <c r="C6" s="87">
        <v>160313937.15010047</v>
      </c>
      <c r="D6" s="87">
        <v>627480.83111408143</v>
      </c>
      <c r="E6" s="87">
        <v>45678027.364832155</v>
      </c>
      <c r="F6" s="87">
        <v>4231808.6264081234</v>
      </c>
      <c r="G6" s="87">
        <v>14976.135909979357</v>
      </c>
      <c r="H6" s="87">
        <v>108505022.46104434</v>
      </c>
      <c r="I6" s="87">
        <v>2031827.1072830742</v>
      </c>
      <c r="J6" s="87">
        <v>31929.598537300139</v>
      </c>
      <c r="K6" s="87">
        <v>54326500</v>
      </c>
      <c r="L6" s="87">
        <v>19499046.17228245</v>
      </c>
      <c r="M6" s="87">
        <v>1189073.0418837813</v>
      </c>
      <c r="N6" s="87">
        <v>1315164.5230185864</v>
      </c>
      <c r="O6" s="87">
        <v>35697538</v>
      </c>
      <c r="P6" s="65"/>
      <c r="Q6" s="87">
        <f t="shared" ref="Q6:Q19" si="0">SUM(C6:D6)</f>
        <v>160941417.98121455</v>
      </c>
      <c r="R6" s="87">
        <f t="shared" ref="R6:R19" si="1">SUM(E6:J6,L6:M6)</f>
        <v>181181710.50818121</v>
      </c>
      <c r="T6" s="49"/>
      <c r="U6" s="49"/>
      <c r="V6" s="49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</row>
    <row r="7" spans="1:35" x14ac:dyDescent="0.35">
      <c r="A7" s="152">
        <f t="shared" ref="A7:A19" si="2">A6+31</f>
        <v>45109</v>
      </c>
      <c r="B7" s="65"/>
      <c r="C7" s="87">
        <v>196924338.50526923</v>
      </c>
      <c r="D7" s="87">
        <v>720716.21276034135</v>
      </c>
      <c r="E7" s="87">
        <v>53165683.826048829</v>
      </c>
      <c r="F7" s="87">
        <v>4660444.4639142612</v>
      </c>
      <c r="G7" s="87">
        <v>15021.565190560295</v>
      </c>
      <c r="H7" s="87">
        <v>119090200.13119626</v>
      </c>
      <c r="I7" s="87">
        <v>2423460.4891794641</v>
      </c>
      <c r="J7" s="87">
        <v>31753.095229550323</v>
      </c>
      <c r="K7" s="87">
        <v>51917113</v>
      </c>
      <c r="L7" s="87">
        <v>23017190.980439242</v>
      </c>
      <c r="M7" s="87">
        <v>2171329.9711556956</v>
      </c>
      <c r="N7" s="87">
        <v>1319522.9235993021</v>
      </c>
      <c r="O7" s="87">
        <v>36380172</v>
      </c>
      <c r="P7" s="65"/>
      <c r="Q7" s="87">
        <f t="shared" si="0"/>
        <v>197645054.71802956</v>
      </c>
      <c r="R7" s="87">
        <f t="shared" si="1"/>
        <v>204575084.52235386</v>
      </c>
      <c r="T7" s="49"/>
      <c r="U7" s="49"/>
      <c r="V7" s="49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</row>
    <row r="8" spans="1:35" x14ac:dyDescent="0.35">
      <c r="A8" s="152">
        <f t="shared" si="2"/>
        <v>45140</v>
      </c>
      <c r="B8" s="65"/>
      <c r="C8" s="87">
        <v>214547185.34184492</v>
      </c>
      <c r="D8" s="87">
        <v>765530.37154429755</v>
      </c>
      <c r="E8" s="87">
        <v>52799614.536065564</v>
      </c>
      <c r="F8" s="87">
        <v>4648271.9617856881</v>
      </c>
      <c r="G8" s="87">
        <v>15171.152519330233</v>
      </c>
      <c r="H8" s="87">
        <v>110566285.71245378</v>
      </c>
      <c r="I8" s="87">
        <v>2404692.4544699239</v>
      </c>
      <c r="J8" s="87">
        <v>32007.772351903888</v>
      </c>
      <c r="K8" s="87">
        <v>58885543</v>
      </c>
      <c r="L8" s="87">
        <v>26370003.277375653</v>
      </c>
      <c r="M8" s="87">
        <v>1759041.5724216676</v>
      </c>
      <c r="N8" s="87">
        <v>1343017.048684244</v>
      </c>
      <c r="O8" s="87">
        <v>36557518</v>
      </c>
      <c r="P8" s="65"/>
      <c r="Q8" s="87">
        <f t="shared" si="0"/>
        <v>215312715.71338922</v>
      </c>
      <c r="R8" s="87">
        <f>SUM(E8:J8,L8:M8)</f>
        <v>198595088.43944353</v>
      </c>
      <c r="T8" s="49"/>
      <c r="U8" s="49"/>
      <c r="V8" s="49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</row>
    <row r="9" spans="1:35" x14ac:dyDescent="0.35">
      <c r="A9" s="152">
        <f t="shared" si="2"/>
        <v>45171</v>
      </c>
      <c r="B9" s="65"/>
      <c r="C9" s="87">
        <v>164371149.00684685</v>
      </c>
      <c r="D9" s="87">
        <v>626125.14839100314</v>
      </c>
      <c r="E9" s="87">
        <v>46759812.57790827</v>
      </c>
      <c r="F9" s="87">
        <v>4186466.9319014093</v>
      </c>
      <c r="G9" s="87">
        <v>15171.576721452222</v>
      </c>
      <c r="H9" s="87">
        <v>102152372.11463806</v>
      </c>
      <c r="I9" s="87">
        <v>2118866.9670781596</v>
      </c>
      <c r="J9" s="87">
        <v>32058.638871043197</v>
      </c>
      <c r="K9" s="87">
        <v>49947496</v>
      </c>
      <c r="L9" s="87">
        <v>21670353.872718453</v>
      </c>
      <c r="M9" s="87">
        <v>1190302.6767676163</v>
      </c>
      <c r="N9" s="87">
        <v>1345900.7959291809</v>
      </c>
      <c r="O9" s="87">
        <v>33791973</v>
      </c>
      <c r="P9" s="65"/>
      <c r="Q9" s="87">
        <f t="shared" si="0"/>
        <v>164997274.15523785</v>
      </c>
      <c r="R9" s="87">
        <f t="shared" si="1"/>
        <v>178125405.35660446</v>
      </c>
      <c r="T9" s="49"/>
      <c r="U9" s="49"/>
      <c r="V9" s="49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</row>
    <row r="10" spans="1:35" x14ac:dyDescent="0.35">
      <c r="A10" s="152">
        <f t="shared" si="2"/>
        <v>45202</v>
      </c>
      <c r="B10" s="65"/>
      <c r="C10" s="87">
        <v>173496039.70389423</v>
      </c>
      <c r="D10" s="87">
        <v>790461.05294446996</v>
      </c>
      <c r="E10" s="87">
        <v>47714979.708056137</v>
      </c>
      <c r="F10" s="87">
        <v>4880754.2416224247</v>
      </c>
      <c r="G10" s="87">
        <v>15249.693479725467</v>
      </c>
      <c r="H10" s="87">
        <v>113086841.45146346</v>
      </c>
      <c r="I10" s="87">
        <v>2320430.0682267682</v>
      </c>
      <c r="J10" s="87">
        <v>31845.744306512996</v>
      </c>
      <c r="K10" s="87">
        <v>50764195</v>
      </c>
      <c r="L10" s="87">
        <v>12116387.865665345</v>
      </c>
      <c r="M10" s="87">
        <v>479265.62359406159</v>
      </c>
      <c r="N10" s="87">
        <v>1314322.6735311958</v>
      </c>
      <c r="O10" s="87">
        <v>36644189</v>
      </c>
      <c r="P10" s="65"/>
      <c r="Q10" s="87">
        <f t="shared" si="0"/>
        <v>174286500.75683871</v>
      </c>
      <c r="R10" s="87">
        <f t="shared" si="1"/>
        <v>180645754.39641443</v>
      </c>
      <c r="T10" s="49"/>
      <c r="U10" s="49"/>
      <c r="V10" s="49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</row>
    <row r="11" spans="1:35" x14ac:dyDescent="0.35">
      <c r="A11" s="152">
        <f t="shared" si="2"/>
        <v>45233</v>
      </c>
      <c r="B11" s="65"/>
      <c r="C11" s="87">
        <v>233284192.34950632</v>
      </c>
      <c r="D11" s="87">
        <v>1241651.1382389688</v>
      </c>
      <c r="E11" s="87">
        <v>53564371.219509102</v>
      </c>
      <c r="F11" s="87">
        <v>6546026.8963942956</v>
      </c>
      <c r="G11" s="87">
        <v>14800.340775449076</v>
      </c>
      <c r="H11" s="87">
        <v>115356590.7530081</v>
      </c>
      <c r="I11" s="87">
        <v>2675509.6099340455</v>
      </c>
      <c r="J11" s="87">
        <v>33115.785222522187</v>
      </c>
      <c r="K11" s="87">
        <v>49541955</v>
      </c>
      <c r="L11" s="87">
        <v>2770724.5073966905</v>
      </c>
      <c r="M11" s="87">
        <v>216805.72725451284</v>
      </c>
      <c r="N11" s="87">
        <v>1330329.7010500454</v>
      </c>
      <c r="O11" s="87">
        <v>35454061</v>
      </c>
      <c r="P11" s="65"/>
      <c r="Q11" s="87">
        <f t="shared" si="0"/>
        <v>234525843.48774529</v>
      </c>
      <c r="R11" s="87">
        <f t="shared" si="1"/>
        <v>181177944.83949471</v>
      </c>
      <c r="T11" s="49"/>
      <c r="U11" s="49"/>
      <c r="V11" s="49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</row>
    <row r="12" spans="1:35" x14ac:dyDescent="0.35">
      <c r="A12" s="152">
        <f t="shared" si="2"/>
        <v>45264</v>
      </c>
      <c r="B12" s="65"/>
      <c r="C12" s="87">
        <v>294458861.87734973</v>
      </c>
      <c r="D12" s="87">
        <v>1606707.2703934168</v>
      </c>
      <c r="E12" s="87">
        <v>59077181.910242595</v>
      </c>
      <c r="F12" s="87">
        <v>8558828.3616417795</v>
      </c>
      <c r="G12" s="87">
        <v>14872.76280284112</v>
      </c>
      <c r="H12" s="87">
        <v>110810756.96142957</v>
      </c>
      <c r="I12" s="87">
        <v>3526538.4943027357</v>
      </c>
      <c r="J12" s="87">
        <v>32271.524672647713</v>
      </c>
      <c r="K12" s="87">
        <v>49979591</v>
      </c>
      <c r="L12" s="87">
        <v>3336170.7485061325</v>
      </c>
      <c r="M12" s="87">
        <v>263428.06233219116</v>
      </c>
      <c r="N12" s="87">
        <v>1338864.1154058825</v>
      </c>
      <c r="O12" s="87">
        <v>34638205</v>
      </c>
      <c r="P12" s="65"/>
      <c r="Q12" s="87">
        <f t="shared" si="0"/>
        <v>296065569.14774317</v>
      </c>
      <c r="R12" s="87">
        <f t="shared" si="1"/>
        <v>185620048.82593051</v>
      </c>
      <c r="T12" s="49"/>
      <c r="U12" s="49"/>
      <c r="V12" s="49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</row>
    <row r="13" spans="1:35" x14ac:dyDescent="0.35">
      <c r="A13" s="152">
        <f t="shared" si="2"/>
        <v>45295</v>
      </c>
      <c r="B13" s="65"/>
      <c r="C13" s="87">
        <v>299403990.03348213</v>
      </c>
      <c r="D13" s="87">
        <v>1664019.8540168207</v>
      </c>
      <c r="E13" s="87">
        <v>57632192.320707999</v>
      </c>
      <c r="F13" s="87">
        <v>8600476.3009382598</v>
      </c>
      <c r="G13" s="87">
        <v>14947.207888777773</v>
      </c>
      <c r="H13" s="87">
        <v>106130429.6273226</v>
      </c>
      <c r="I13" s="87">
        <v>3462192.8353678286</v>
      </c>
      <c r="J13" s="87">
        <v>32234.124558181371</v>
      </c>
      <c r="K13" s="87">
        <v>55440542</v>
      </c>
      <c r="L13" s="87">
        <v>3704484.800404055</v>
      </c>
      <c r="M13" s="87">
        <v>329333.06717215944</v>
      </c>
      <c r="N13" s="87">
        <v>1340188.064714706</v>
      </c>
      <c r="O13" s="87">
        <v>35576866</v>
      </c>
      <c r="P13" s="65"/>
      <c r="Q13" s="87">
        <f t="shared" si="0"/>
        <v>301068009.88749897</v>
      </c>
      <c r="R13" s="87">
        <f t="shared" si="1"/>
        <v>179906290.28435984</v>
      </c>
      <c r="T13" s="49"/>
      <c r="U13" s="49"/>
      <c r="V13" s="49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</row>
    <row r="14" spans="1:35" x14ac:dyDescent="0.35">
      <c r="A14" s="152">
        <f t="shared" si="2"/>
        <v>45326</v>
      </c>
      <c r="B14" s="65"/>
      <c r="C14" s="87">
        <v>254670639.7533049</v>
      </c>
      <c r="D14" s="87">
        <v>1412085.6935759285</v>
      </c>
      <c r="E14" s="87">
        <v>53301667.278196059</v>
      </c>
      <c r="F14" s="87">
        <v>7403382.4030482676</v>
      </c>
      <c r="G14" s="87">
        <v>15001.731720092279</v>
      </c>
      <c r="H14" s="87">
        <v>103571806.72600465</v>
      </c>
      <c r="I14" s="87">
        <v>2879815.5571194626</v>
      </c>
      <c r="J14" s="87">
        <v>32180.122510648922</v>
      </c>
      <c r="K14" s="87">
        <v>48854215</v>
      </c>
      <c r="L14" s="87">
        <v>4008720.892907551</v>
      </c>
      <c r="M14" s="87">
        <v>337327.9547667572</v>
      </c>
      <c r="N14" s="87">
        <v>1272098.5856400984</v>
      </c>
      <c r="O14" s="87">
        <v>30968543</v>
      </c>
      <c r="P14" s="65"/>
      <c r="Q14" s="87">
        <f t="shared" si="0"/>
        <v>256082725.44688082</v>
      </c>
      <c r="R14" s="87">
        <f t="shared" si="1"/>
        <v>171549902.66627347</v>
      </c>
      <c r="T14" s="49"/>
      <c r="U14" s="49"/>
      <c r="V14" s="49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</row>
    <row r="15" spans="1:35" x14ac:dyDescent="0.35">
      <c r="A15" s="152">
        <f t="shared" si="2"/>
        <v>45357</v>
      </c>
      <c r="B15" s="65"/>
      <c r="C15" s="87">
        <v>225342904.52123645</v>
      </c>
      <c r="D15" s="87">
        <v>1262692.6800209233</v>
      </c>
      <c r="E15" s="87">
        <v>50849365.639981262</v>
      </c>
      <c r="F15" s="87">
        <v>6698201.0565204285</v>
      </c>
      <c r="G15" s="87">
        <v>15029.245167094754</v>
      </c>
      <c r="H15" s="87">
        <v>101284488.49339174</v>
      </c>
      <c r="I15" s="87">
        <v>2680987.3008237947</v>
      </c>
      <c r="J15" s="87">
        <v>32278.217293927126</v>
      </c>
      <c r="K15" s="87">
        <v>52560911</v>
      </c>
      <c r="L15" s="87">
        <v>3881445.4987983853</v>
      </c>
      <c r="M15" s="87">
        <v>329904.67799513607</v>
      </c>
      <c r="N15" s="87">
        <v>1353925.3824872593</v>
      </c>
      <c r="O15" s="87">
        <v>33226563</v>
      </c>
      <c r="P15" s="65"/>
      <c r="Q15" s="87">
        <f t="shared" si="0"/>
        <v>226605597.20125738</v>
      </c>
      <c r="R15" s="87">
        <f t="shared" si="1"/>
        <v>165771700.12997174</v>
      </c>
      <c r="T15" s="49"/>
      <c r="U15" s="49"/>
      <c r="V15" s="49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</row>
    <row r="16" spans="1:35" x14ac:dyDescent="0.35">
      <c r="A16" s="152">
        <f t="shared" si="2"/>
        <v>45388</v>
      </c>
      <c r="B16" s="65"/>
      <c r="C16" s="87">
        <v>182494367.47494352</v>
      </c>
      <c r="D16" s="87">
        <v>977931.9417981311</v>
      </c>
      <c r="E16" s="87">
        <v>45131394.917548597</v>
      </c>
      <c r="F16" s="87">
        <v>5107262.6294509675</v>
      </c>
      <c r="G16" s="87">
        <v>15031.465767987291</v>
      </c>
      <c r="H16" s="87">
        <v>98227334.848528177</v>
      </c>
      <c r="I16" s="87">
        <v>2182707.6141066141</v>
      </c>
      <c r="J16" s="87">
        <v>32244.411413059857</v>
      </c>
      <c r="K16" s="87">
        <v>49147173</v>
      </c>
      <c r="L16" s="87">
        <v>5671814.8708050419</v>
      </c>
      <c r="M16" s="87">
        <v>407880.1228831975</v>
      </c>
      <c r="N16" s="87">
        <v>1292839.6562630786</v>
      </c>
      <c r="O16" s="87">
        <v>36898259</v>
      </c>
      <c r="P16" s="65"/>
      <c r="Q16" s="87">
        <f t="shared" si="0"/>
        <v>183472299.41674164</v>
      </c>
      <c r="R16" s="87">
        <f t="shared" si="1"/>
        <v>156775670.88050368</v>
      </c>
      <c r="T16" s="49"/>
      <c r="U16" s="49"/>
      <c r="V16" s="49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</row>
    <row r="17" spans="1:35" x14ac:dyDescent="0.35">
      <c r="A17" s="152">
        <f t="shared" si="2"/>
        <v>45419</v>
      </c>
      <c r="B17" s="65"/>
      <c r="C17" s="87">
        <v>164073459.19403714</v>
      </c>
      <c r="D17" s="87">
        <v>801264.86799636122</v>
      </c>
      <c r="E17" s="87">
        <v>44278196.958146386</v>
      </c>
      <c r="F17" s="87">
        <v>4463599.6131827673</v>
      </c>
      <c r="G17" s="87">
        <v>15027.380026457709</v>
      </c>
      <c r="H17" s="87">
        <v>102745136.84681933</v>
      </c>
      <c r="I17" s="87">
        <v>2018840.012124029</v>
      </c>
      <c r="J17" s="87">
        <v>32189.04202992783</v>
      </c>
      <c r="K17" s="87">
        <v>49713670</v>
      </c>
      <c r="L17" s="87">
        <v>12259444.869488955</v>
      </c>
      <c r="M17" s="87">
        <v>704534.01715729223</v>
      </c>
      <c r="N17" s="87">
        <v>1297017.5794819526</v>
      </c>
      <c r="O17" s="87">
        <v>34318289</v>
      </c>
      <c r="P17" s="65"/>
      <c r="Q17" s="87">
        <f t="shared" si="0"/>
        <v>164874724.0620335</v>
      </c>
      <c r="R17" s="87">
        <f t="shared" si="1"/>
        <v>166516968.73897514</v>
      </c>
      <c r="T17" s="49"/>
      <c r="U17" s="49"/>
      <c r="V17" s="49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</row>
    <row r="18" spans="1:35" x14ac:dyDescent="0.35">
      <c r="A18" s="152">
        <f t="shared" si="2"/>
        <v>45450</v>
      </c>
      <c r="B18" s="65"/>
      <c r="C18" s="87">
        <v>161241366.72592574</v>
      </c>
      <c r="D18" s="87">
        <v>699342.16475243296</v>
      </c>
      <c r="E18" s="87">
        <v>45836867.29964456</v>
      </c>
      <c r="F18" s="87">
        <v>4298402.2481910707</v>
      </c>
      <c r="G18" s="87">
        <v>15016.113743829746</v>
      </c>
      <c r="H18" s="87">
        <v>106661433.18876651</v>
      </c>
      <c r="I18" s="87">
        <v>1994125.6678893887</v>
      </c>
      <c r="J18" s="87">
        <v>32223.796578307669</v>
      </c>
      <c r="K18" s="87">
        <v>52029033</v>
      </c>
      <c r="L18" s="87">
        <v>20164138.532929026</v>
      </c>
      <c r="M18" s="87">
        <v>1020737.5122345374</v>
      </c>
      <c r="N18" s="87">
        <v>1313152.508189003</v>
      </c>
      <c r="O18" s="87">
        <v>34622943</v>
      </c>
      <c r="P18" s="65"/>
      <c r="Q18" s="87">
        <f t="shared" si="0"/>
        <v>161940708.89067817</v>
      </c>
      <c r="R18" s="87">
        <f t="shared" si="1"/>
        <v>180022944.35997725</v>
      </c>
      <c r="T18" s="49"/>
      <c r="U18" s="49"/>
      <c r="V18" s="49"/>
      <c r="W18" s="49"/>
    </row>
    <row r="19" spans="1:35" x14ac:dyDescent="0.35">
      <c r="A19" s="152">
        <f t="shared" si="2"/>
        <v>45481</v>
      </c>
      <c r="B19" s="65"/>
      <c r="C19" s="87">
        <v>191876585.82464999</v>
      </c>
      <c r="D19" s="87">
        <v>778168.00876351411</v>
      </c>
      <c r="E19" s="87">
        <v>53232672.084219672</v>
      </c>
      <c r="F19" s="87">
        <v>4691848.7659277944</v>
      </c>
      <c r="G19" s="87">
        <v>14997.429282225816</v>
      </c>
      <c r="H19" s="87">
        <v>116353827.74213701</v>
      </c>
      <c r="I19" s="87">
        <v>2396370.3045744947</v>
      </c>
      <c r="J19" s="87">
        <v>32264.312355892445</v>
      </c>
      <c r="K19" s="87">
        <v>51512338</v>
      </c>
      <c r="L19" s="87">
        <v>23169494.901908897</v>
      </c>
      <c r="M19" s="87">
        <v>1700077.1520436183</v>
      </c>
      <c r="N19" s="87">
        <v>1314340.3992536208</v>
      </c>
      <c r="O19" s="87">
        <v>34410021</v>
      </c>
      <c r="P19" s="65"/>
      <c r="Q19" s="87">
        <f t="shared" si="0"/>
        <v>192654753.83341351</v>
      </c>
      <c r="R19" s="87">
        <f t="shared" si="1"/>
        <v>201591552.6924496</v>
      </c>
      <c r="T19" s="49"/>
      <c r="U19" s="49"/>
      <c r="V19" s="49"/>
      <c r="W19" s="49"/>
    </row>
    <row r="20" spans="1:35" x14ac:dyDescent="0.35">
      <c r="A20" s="62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Q20" s="49"/>
      <c r="R20" s="49"/>
      <c r="T20" s="49"/>
      <c r="U20" s="49"/>
      <c r="V20" s="49"/>
      <c r="W20" s="49"/>
    </row>
    <row r="21" spans="1:35" x14ac:dyDescent="0.35">
      <c r="A21" s="62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Q21" s="49"/>
      <c r="R21" s="49"/>
    </row>
    <row r="22" spans="1:35" x14ac:dyDescent="0.35">
      <c r="A22" s="62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Q22" s="49"/>
      <c r="R22" s="49"/>
    </row>
    <row r="23" spans="1:35" x14ac:dyDescent="0.35">
      <c r="A23" s="62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Q23" s="49"/>
      <c r="R23" s="49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</row>
    <row r="24" spans="1:35" x14ac:dyDescent="0.35"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</row>
    <row r="25" spans="1:35" x14ac:dyDescent="0.35"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</row>
    <row r="26" spans="1:35" x14ac:dyDescent="0.35"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</row>
    <row r="27" spans="1:35" x14ac:dyDescent="0.35"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</row>
    <row r="28" spans="1:35" x14ac:dyDescent="0.35"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</row>
    <row r="29" spans="1:35" x14ac:dyDescent="0.35"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</row>
    <row r="30" spans="1:35" x14ac:dyDescent="0.35"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</row>
    <row r="31" spans="1:35" x14ac:dyDescent="0.35"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</row>
    <row r="32" spans="1:35" x14ac:dyDescent="0.35"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</row>
    <row r="33" spans="1:34" x14ac:dyDescent="0.35"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</row>
    <row r="34" spans="1:34" x14ac:dyDescent="0.35"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</row>
    <row r="35" spans="1:34" x14ac:dyDescent="0.35"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</row>
    <row r="37" spans="1:34" x14ac:dyDescent="0.35">
      <c r="C37" s="44"/>
      <c r="D37" s="44"/>
      <c r="E37" s="44"/>
      <c r="F37" s="44"/>
      <c r="G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</row>
    <row r="38" spans="1:34" x14ac:dyDescent="0.35">
      <c r="C38" s="44"/>
      <c r="D38" s="44"/>
      <c r="E38" s="44"/>
      <c r="F38" s="44"/>
      <c r="G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</row>
    <row r="39" spans="1:34" x14ac:dyDescent="0.35">
      <c r="C39" s="44"/>
      <c r="D39" s="44"/>
      <c r="E39" s="44"/>
      <c r="F39" s="44"/>
      <c r="G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</row>
    <row r="40" spans="1:34" x14ac:dyDescent="0.35">
      <c r="C40" s="44"/>
      <c r="D40" s="44"/>
      <c r="E40" s="44"/>
      <c r="F40" s="44"/>
      <c r="G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</row>
    <row r="41" spans="1:34" x14ac:dyDescent="0.3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</row>
    <row r="42" spans="1:34" x14ac:dyDescent="0.35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</row>
    <row r="43" spans="1:34" x14ac:dyDescent="0.35"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</row>
    <row r="44" spans="1:34" x14ac:dyDescent="0.35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</row>
    <row r="45" spans="1:34" x14ac:dyDescent="0.35">
      <c r="A45" s="11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</row>
    <row r="58" spans="3:15" x14ac:dyDescent="0.35"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</row>
    <row r="59" spans="3:15" x14ac:dyDescent="0.35"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</row>
    <row r="60" spans="3:15" x14ac:dyDescent="0.35"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</row>
    <row r="61" spans="3:15" x14ac:dyDescent="0.35"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</row>
    <row r="62" spans="3:15" x14ac:dyDescent="0.35"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</row>
    <row r="63" spans="3:15" x14ac:dyDescent="0.35"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</row>
    <row r="64" spans="3:15" x14ac:dyDescent="0.35"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</row>
    <row r="65" spans="3:15" x14ac:dyDescent="0.35"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</row>
    <row r="66" spans="3:15" x14ac:dyDescent="0.35"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</row>
    <row r="67" spans="3:15" x14ac:dyDescent="0.35"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</row>
    <row r="68" spans="3:15" x14ac:dyDescent="0.35"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</row>
    <row r="69" spans="3:15" x14ac:dyDescent="0.35"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</row>
    <row r="70" spans="3:15" x14ac:dyDescent="0.35"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</row>
    <row r="71" spans="3:15" x14ac:dyDescent="0.35"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</row>
    <row r="72" spans="3:15" x14ac:dyDescent="0.35"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</row>
  </sheetData>
  <mergeCells count="2">
    <mergeCell ref="A1:A2"/>
    <mergeCell ref="Q3:R3"/>
  </mergeCells>
  <phoneticPr fontId="23" type="noConversion"/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0"/>
  <sheetViews>
    <sheetView zoomScaleNormal="100" workbookViewId="0"/>
  </sheetViews>
  <sheetFormatPr defaultRowHeight="14.5" x14ac:dyDescent="0.35"/>
  <cols>
    <col min="1" max="1" width="4.54296875" customWidth="1"/>
    <col min="2" max="2" width="32.1796875" customWidth="1"/>
    <col min="3" max="3" width="16.81640625" customWidth="1"/>
    <col min="4" max="4" width="16" customWidth="1"/>
    <col min="5" max="5" width="16.7265625" customWidth="1"/>
    <col min="6" max="6" width="8.26953125" customWidth="1"/>
    <col min="7" max="7" width="4.81640625" customWidth="1"/>
    <col min="8" max="8" width="31.81640625" customWidth="1"/>
    <col min="9" max="9" width="18" customWidth="1"/>
    <col min="10" max="10" width="16.26953125" customWidth="1"/>
    <col min="11" max="11" width="16.7265625" customWidth="1"/>
    <col min="13" max="14" width="11.7265625" customWidth="1"/>
    <col min="15" max="15" width="10.453125" customWidth="1"/>
    <col min="16" max="16" width="12.7265625" customWidth="1"/>
  </cols>
  <sheetData>
    <row r="1" spans="1:12" x14ac:dyDescent="0.35">
      <c r="B1" s="173" t="s">
        <v>0</v>
      </c>
      <c r="C1" s="173"/>
      <c r="D1" s="173"/>
      <c r="E1" s="173"/>
      <c r="F1" s="50"/>
      <c r="G1" s="50"/>
      <c r="H1" s="173" t="s">
        <v>0</v>
      </c>
      <c r="I1" s="173"/>
      <c r="J1" s="173"/>
      <c r="K1" s="173"/>
    </row>
    <row r="2" spans="1:12" x14ac:dyDescent="0.35">
      <c r="B2" s="173" t="s">
        <v>1</v>
      </c>
      <c r="C2" s="173"/>
      <c r="D2" s="173"/>
      <c r="E2" s="173"/>
      <c r="F2" s="50"/>
      <c r="G2" s="50"/>
      <c r="H2" s="173" t="s">
        <v>1</v>
      </c>
      <c r="I2" s="173"/>
      <c r="J2" s="173"/>
      <c r="K2" s="173"/>
    </row>
    <row r="3" spans="1:12" x14ac:dyDescent="0.35">
      <c r="B3" s="173" t="s">
        <v>190</v>
      </c>
      <c r="C3" s="173"/>
      <c r="D3" s="173"/>
      <c r="E3" s="173"/>
      <c r="F3" s="50"/>
      <c r="G3" s="50"/>
      <c r="H3" s="173" t="str">
        <f>B3</f>
        <v>Effective August 1, 2023 - July 31, 2024</v>
      </c>
      <c r="I3" s="173"/>
      <c r="J3" s="173"/>
      <c r="K3" s="173"/>
    </row>
    <row r="5" spans="1:12" ht="18.5" x14ac:dyDescent="0.45">
      <c r="B5" s="180" t="s">
        <v>38</v>
      </c>
      <c r="C5" s="180"/>
      <c r="D5" s="180"/>
      <c r="E5" s="180"/>
      <c r="F5" s="59"/>
      <c r="G5" s="26"/>
      <c r="H5" s="180" t="s">
        <v>39</v>
      </c>
      <c r="I5" s="180"/>
      <c r="J5" s="180"/>
      <c r="K5" s="180"/>
    </row>
    <row r="6" spans="1:12" ht="29.5" customHeight="1" x14ac:dyDescent="0.35">
      <c r="A6" s="73" t="s">
        <v>91</v>
      </c>
      <c r="B6" s="58" t="s">
        <v>2</v>
      </c>
      <c r="C6" s="58" t="s">
        <v>5</v>
      </c>
      <c r="D6" s="58" t="s">
        <v>6</v>
      </c>
      <c r="E6" s="70" t="s">
        <v>105</v>
      </c>
      <c r="F6" s="58"/>
      <c r="G6" s="73" t="s">
        <v>91</v>
      </c>
      <c r="H6" s="58" t="s">
        <v>2</v>
      </c>
      <c r="I6" s="58" t="s">
        <v>5</v>
      </c>
      <c r="J6" s="58" t="s">
        <v>6</v>
      </c>
      <c r="K6" s="70" t="s">
        <v>105</v>
      </c>
    </row>
    <row r="7" spans="1:12" x14ac:dyDescent="0.35">
      <c r="A7" s="74">
        <v>1</v>
      </c>
      <c r="B7" s="58"/>
      <c r="C7" s="72">
        <f>ROUND(C8/E22,5)</f>
        <v>-6.6699999999999997E-3</v>
      </c>
      <c r="D7" s="139">
        <v>7.4999999999999997E-2</v>
      </c>
      <c r="E7" s="58"/>
      <c r="F7" s="58"/>
      <c r="G7" s="74">
        <v>1</v>
      </c>
      <c r="H7" s="58"/>
      <c r="I7" s="58">
        <f>ROUND(I8/K22,5)</f>
        <v>-8.0999999999999996E-4</v>
      </c>
      <c r="J7" s="140">
        <f>D7</f>
        <v>7.4999999999999997E-2</v>
      </c>
      <c r="K7" s="58"/>
      <c r="L7" s="65"/>
    </row>
    <row r="8" spans="1:12" x14ac:dyDescent="0.35">
      <c r="A8" s="74">
        <v>2</v>
      </c>
      <c r="B8" s="141">
        <v>45127</v>
      </c>
      <c r="C8" s="25">
        <f>C55+C56</f>
        <v>-17156869.773547634</v>
      </c>
      <c r="D8" s="25"/>
      <c r="E8" s="26"/>
      <c r="F8" s="26"/>
      <c r="G8" s="74">
        <v>2</v>
      </c>
      <c r="H8" s="51">
        <f>B8</f>
        <v>45127</v>
      </c>
      <c r="I8" s="25">
        <f>I55+I56</f>
        <v>-1745066.2846833861</v>
      </c>
      <c r="J8" s="25"/>
      <c r="K8" s="26"/>
    </row>
    <row r="9" spans="1:12" x14ac:dyDescent="0.35">
      <c r="A9" s="74">
        <v>3</v>
      </c>
      <c r="B9" s="51">
        <f>B8+31</f>
        <v>45158</v>
      </c>
      <c r="C9" s="25">
        <f>C8+D9-$C$7*E9</f>
        <v>-15823476.471405849</v>
      </c>
      <c r="D9" s="25">
        <f>(C8-$C$7*E9/2)*$D$7/12</f>
        <v>-102742.51166652176</v>
      </c>
      <c r="E9" s="31">
        <f>'4 13 22 Forecast Usage by Sched'!Q8</f>
        <v>215312715.71338922</v>
      </c>
      <c r="F9" s="31"/>
      <c r="G9" s="74">
        <v>3</v>
      </c>
      <c r="H9" s="51">
        <f t="shared" ref="H9:H20" si="0">B9</f>
        <v>45158</v>
      </c>
      <c r="I9" s="25">
        <f>I8+J9-$I$7*K9</f>
        <v>-1594608.2335090959</v>
      </c>
      <c r="J9" s="25">
        <f>(I8-$I$7*K9/2)*$J$7/12</f>
        <v>-10403.970461658822</v>
      </c>
      <c r="K9" s="31">
        <f>'4 13 22 Forecast Usage by Sched'!R8</f>
        <v>198595088.43944353</v>
      </c>
    </row>
    <row r="10" spans="1:12" x14ac:dyDescent="0.35">
      <c r="A10" s="74">
        <v>4</v>
      </c>
      <c r="B10" s="51">
        <f t="shared" ref="B10:B20" si="1">B9+31</f>
        <v>45189</v>
      </c>
      <c r="C10" s="25">
        <f t="shared" ref="C10:C20" si="2">C9+D10-$C$7*E10</f>
        <v>-14818402.218803525</v>
      </c>
      <c r="D10" s="25">
        <f t="shared" ref="D10:D20" si="3">(C9-$C$7*E10/2)*$D$7/12</f>
        <v>-95457.566013113305</v>
      </c>
      <c r="E10" s="31">
        <f>'4 13 22 Forecast Usage by Sched'!Q9</f>
        <v>164997274.15523785</v>
      </c>
      <c r="F10" s="31"/>
      <c r="G10" s="74">
        <v>4</v>
      </c>
      <c r="H10" s="51">
        <f t="shared" si="0"/>
        <v>45189</v>
      </c>
      <c r="I10" s="25">
        <f t="shared" ref="I10:I20" si="4">I9+J10-$I$7*K10</f>
        <v>-1459842.0766973691</v>
      </c>
      <c r="J10" s="25">
        <f t="shared" ref="J10:J20" si="5">(I9-$I$7*K10/2)*$J$7/12</f>
        <v>-9515.4215271229441</v>
      </c>
      <c r="K10" s="31">
        <f>'4 13 22 Forecast Usage by Sched'!R9</f>
        <v>178125405.35660446</v>
      </c>
    </row>
    <row r="11" spans="1:12" x14ac:dyDescent="0.35">
      <c r="A11" s="74">
        <v>5</v>
      </c>
      <c r="B11" s="51">
        <f t="shared" si="1"/>
        <v>45220</v>
      </c>
      <c r="C11" s="25">
        <f t="shared" si="2"/>
        <v>-13744893.488372782</v>
      </c>
      <c r="D11" s="25">
        <f t="shared" si="3"/>
        <v>-88982.229617371675</v>
      </c>
      <c r="E11" s="31">
        <f>'4 13 22 Forecast Usage by Sched'!Q10</f>
        <v>174286500.75683871</v>
      </c>
      <c r="F11" s="31"/>
      <c r="G11" s="74">
        <v>5</v>
      </c>
      <c r="H11" s="51">
        <f t="shared" si="0"/>
        <v>45220</v>
      </c>
      <c r="I11" s="25">
        <f t="shared" si="4"/>
        <v>-1322185.7690498161</v>
      </c>
      <c r="J11" s="25">
        <f t="shared" si="5"/>
        <v>-8666.753413542634</v>
      </c>
      <c r="K11" s="31">
        <f>'4 13 22 Forecast Usage by Sched'!R10</f>
        <v>180645754.39641443</v>
      </c>
    </row>
    <row r="12" spans="1:12" x14ac:dyDescent="0.35">
      <c r="A12" s="74">
        <v>6</v>
      </c>
      <c r="B12" s="51">
        <f t="shared" si="1"/>
        <v>45251</v>
      </c>
      <c r="C12" s="25">
        <f t="shared" si="2"/>
        <v>-12261623.298561653</v>
      </c>
      <c r="D12" s="25">
        <f t="shared" si="3"/>
        <v>-81017.186252132189</v>
      </c>
      <c r="E12" s="31">
        <f>'4 13 22 Forecast Usage by Sched'!Q11</f>
        <v>234525843.48774529</v>
      </c>
      <c r="F12" s="31"/>
      <c r="G12" s="74">
        <v>6</v>
      </c>
      <c r="H12" s="51">
        <f t="shared" si="0"/>
        <v>45251</v>
      </c>
      <c r="I12" s="25">
        <f t="shared" si="4"/>
        <v>-1183236.6881135115</v>
      </c>
      <c r="J12" s="25">
        <f t="shared" si="5"/>
        <v>-7805.0543836863799</v>
      </c>
      <c r="K12" s="31">
        <f>'4 13 22 Forecast Usage by Sched'!R11</f>
        <v>181177944.83949471</v>
      </c>
    </row>
    <row r="13" spans="1:12" x14ac:dyDescent="0.35">
      <c r="A13" s="74">
        <v>7</v>
      </c>
      <c r="B13" s="51">
        <f t="shared" si="1"/>
        <v>45282</v>
      </c>
      <c r="C13" s="25">
        <f t="shared" si="2"/>
        <v>-10357329.981255293</v>
      </c>
      <c r="D13" s="25">
        <f t="shared" si="3"/>
        <v>-70464.028909087065</v>
      </c>
      <c r="E13" s="31">
        <f>'4 13 22 Forecast Usage by Sched'!Q12</f>
        <v>296065569.14774317</v>
      </c>
      <c r="F13" s="31"/>
      <c r="G13" s="74">
        <v>7</v>
      </c>
      <c r="H13" s="51">
        <f t="shared" si="0"/>
        <v>45282</v>
      </c>
      <c r="I13" s="25">
        <f t="shared" si="4"/>
        <v>-1039809.8271166265</v>
      </c>
      <c r="J13" s="25">
        <f t="shared" si="5"/>
        <v>-6925.3785521188111</v>
      </c>
      <c r="K13" s="31">
        <f>'4 13 22 Forecast Usage by Sched'!R12</f>
        <v>185620048.82593051</v>
      </c>
    </row>
    <row r="14" spans="1:12" x14ac:dyDescent="0.35">
      <c r="A14" s="74">
        <v>8</v>
      </c>
      <c r="B14" s="51">
        <f t="shared" si="1"/>
        <v>45313</v>
      </c>
      <c r="C14" s="25">
        <f t="shared" si="2"/>
        <v>-8407664.2813574281</v>
      </c>
      <c r="D14" s="25">
        <f t="shared" si="3"/>
        <v>-58457.92605175302</v>
      </c>
      <c r="E14" s="31">
        <f>'4 13 22 Forecast Usage by Sched'!Q13</f>
        <v>301068009.88749897</v>
      </c>
      <c r="F14" s="31"/>
      <c r="G14" s="74">
        <v>8</v>
      </c>
      <c r="H14" s="51">
        <f t="shared" si="0"/>
        <v>45313</v>
      </c>
      <c r="I14" s="25">
        <f t="shared" si="4"/>
        <v>-900129.15560849174</v>
      </c>
      <c r="J14" s="25">
        <f t="shared" si="5"/>
        <v>-6043.4236221966303</v>
      </c>
      <c r="K14" s="31">
        <f>'4 13 22 Forecast Usage by Sched'!R13</f>
        <v>179906290.28435984</v>
      </c>
    </row>
    <row r="15" spans="1:12" x14ac:dyDescent="0.35">
      <c r="A15" s="74">
        <v>9</v>
      </c>
      <c r="B15" s="51">
        <f t="shared" si="1"/>
        <v>45344</v>
      </c>
      <c r="C15" s="25">
        <f t="shared" si="2"/>
        <v>-6746802.6800766839</v>
      </c>
      <c r="D15" s="25">
        <f t="shared" si="3"/>
        <v>-47210.177449950505</v>
      </c>
      <c r="E15" s="31">
        <f>'4 13 22 Forecast Usage by Sched'!Q14</f>
        <v>256082725.44688082</v>
      </c>
      <c r="F15" s="31"/>
      <c r="G15" s="74">
        <v>9</v>
      </c>
      <c r="H15" s="51">
        <f t="shared" si="0"/>
        <v>45344</v>
      </c>
      <c r="I15" s="25">
        <f t="shared" si="4"/>
        <v>-766365.3059802393</v>
      </c>
      <c r="J15" s="25">
        <f t="shared" si="5"/>
        <v>-5191.5715314290692</v>
      </c>
      <c r="K15" s="31">
        <f>'4 13 22 Forecast Usage by Sched'!R14</f>
        <v>171549902.66627347</v>
      </c>
    </row>
    <row r="16" spans="1:12" x14ac:dyDescent="0.35">
      <c r="A16" s="74">
        <v>10</v>
      </c>
      <c r="B16" s="51">
        <f t="shared" si="1"/>
        <v>45375</v>
      </c>
      <c r="C16" s="25">
        <f t="shared" si="2"/>
        <v>-5272787.5530781122</v>
      </c>
      <c r="D16" s="25">
        <f t="shared" si="3"/>
        <v>-37444.206333815564</v>
      </c>
      <c r="E16" s="31">
        <f>'4 13 22 Forecast Usage by Sched'!Q15</f>
        <v>226605597.20125738</v>
      </c>
      <c r="F16" s="31"/>
      <c r="G16" s="74">
        <v>10</v>
      </c>
      <c r="H16" s="51">
        <f t="shared" si="0"/>
        <v>45375</v>
      </c>
      <c r="I16" s="25">
        <f t="shared" si="4"/>
        <v>-636460.4024213847</v>
      </c>
      <c r="J16" s="25">
        <f t="shared" si="5"/>
        <v>-4370.1735464225039</v>
      </c>
      <c r="K16" s="31">
        <f>'4 13 22 Forecast Usage by Sched'!R15</f>
        <v>165771700.12997174</v>
      </c>
    </row>
    <row r="17" spans="1:11" x14ac:dyDescent="0.35">
      <c r="A17" s="74">
        <v>11</v>
      </c>
      <c r="B17" s="51">
        <f t="shared" si="1"/>
        <v>45406</v>
      </c>
      <c r="C17" s="25">
        <f t="shared" si="2"/>
        <v>-4078157.9874342158</v>
      </c>
      <c r="D17" s="25">
        <f t="shared" si="3"/>
        <v>-29130.671465770491</v>
      </c>
      <c r="E17" s="31">
        <f>'4 13 22 Forecast Usage by Sched'!Q16</f>
        <v>183472299.41674164</v>
      </c>
      <c r="F17" s="31"/>
      <c r="G17" s="74">
        <v>11</v>
      </c>
      <c r="H17" s="51">
        <f t="shared" si="0"/>
        <v>45406</v>
      </c>
      <c r="I17" s="25">
        <f t="shared" si="4"/>
        <v>-513053.1481063941</v>
      </c>
      <c r="J17" s="25">
        <f t="shared" si="5"/>
        <v>-3581.039098217379</v>
      </c>
      <c r="K17" s="31">
        <f>'4 13 22 Forecast Usage by Sched'!R16</f>
        <v>156775670.88050368</v>
      </c>
    </row>
    <row r="18" spans="1:11" x14ac:dyDescent="0.35">
      <c r="A18" s="74">
        <v>12</v>
      </c>
      <c r="B18" s="51">
        <f t="shared" si="1"/>
        <v>45437</v>
      </c>
      <c r="C18" s="25">
        <f t="shared" si="2"/>
        <v>-3000495.4578322484</v>
      </c>
      <c r="D18" s="25">
        <f t="shared" si="3"/>
        <v>-22051.879891795837</v>
      </c>
      <c r="E18" s="31">
        <f>'4 13 22 Forecast Usage by Sched'!Q17</f>
        <v>164874724.0620335</v>
      </c>
      <c r="F18" s="31"/>
      <c r="G18" s="74">
        <v>12</v>
      </c>
      <c r="H18" s="51">
        <f t="shared" si="0"/>
        <v>45437</v>
      </c>
      <c r="I18" s="25">
        <f t="shared" si="4"/>
        <v>-380959.48952636868</v>
      </c>
      <c r="J18" s="25">
        <f t="shared" si="5"/>
        <v>-2785.0860985444324</v>
      </c>
      <c r="K18" s="31">
        <f>'4 13 22 Forecast Usage by Sched'!R17</f>
        <v>166516968.73897514</v>
      </c>
    </row>
    <row r="19" spans="1:11" x14ac:dyDescent="0.35">
      <c r="A19" s="74">
        <v>13</v>
      </c>
      <c r="B19" s="51">
        <f t="shared" si="1"/>
        <v>45468</v>
      </c>
      <c r="C19" s="25">
        <f t="shared" si="2"/>
        <v>-1935728.5744919365</v>
      </c>
      <c r="D19" s="25">
        <f t="shared" si="3"/>
        <v>-15377.644960511478</v>
      </c>
      <c r="E19" s="31">
        <f>'4 13 22 Forecast Usage by Sched'!Q18</f>
        <v>161940708.89067817</v>
      </c>
      <c r="F19" s="31"/>
      <c r="G19" s="74">
        <v>13</v>
      </c>
      <c r="H19" s="51">
        <f t="shared" si="0"/>
        <v>45468</v>
      </c>
      <c r="I19" s="25">
        <f t="shared" si="4"/>
        <v>-237066.21832641569</v>
      </c>
      <c r="J19" s="25">
        <f t="shared" si="5"/>
        <v>-1925.313731628612</v>
      </c>
      <c r="K19" s="31">
        <f>'4 13 22 Forecast Usage by Sched'!R18</f>
        <v>180022944.35997725</v>
      </c>
    </row>
    <row r="20" spans="1:11" x14ac:dyDescent="0.35">
      <c r="A20" s="74">
        <v>14</v>
      </c>
      <c r="B20" s="51">
        <f t="shared" si="1"/>
        <v>45499</v>
      </c>
      <c r="C20" s="25">
        <f t="shared" si="2"/>
        <v>-658804.02248842781</v>
      </c>
      <c r="D20" s="25">
        <f t="shared" si="3"/>
        <v>-8082.6560653593906</v>
      </c>
      <c r="E20" s="31">
        <f>'4 13 22 Forecast Usage by Sched'!Q19</f>
        <v>192654753.83341351</v>
      </c>
      <c r="F20" s="31"/>
      <c r="G20" s="74">
        <v>14</v>
      </c>
      <c r="H20" s="51">
        <f t="shared" si="0"/>
        <v>45499</v>
      </c>
      <c r="I20" s="25">
        <f t="shared" si="4"/>
        <v>-74748.44589231885</v>
      </c>
      <c r="J20" s="25">
        <f t="shared" si="5"/>
        <v>-971.38524678733495</v>
      </c>
      <c r="K20" s="31">
        <f>'4 13 22 Forecast Usage by Sched'!R19</f>
        <v>201591552.6924496</v>
      </c>
    </row>
    <row r="21" spans="1:11" x14ac:dyDescent="0.35">
      <c r="B21" s="26"/>
      <c r="C21" s="26"/>
      <c r="D21" s="26"/>
      <c r="E21" s="26"/>
      <c r="F21" s="26"/>
      <c r="G21" s="74"/>
      <c r="H21" s="26"/>
      <c r="I21" s="26"/>
      <c r="J21" s="26"/>
      <c r="K21" s="26"/>
    </row>
    <row r="22" spans="1:11" x14ac:dyDescent="0.35">
      <c r="A22" s="74">
        <v>15</v>
      </c>
      <c r="B22" s="26" t="s">
        <v>4</v>
      </c>
      <c r="C22" s="26"/>
      <c r="D22" s="25">
        <f>SUM(D9:D21)</f>
        <v>-656418.68467718223</v>
      </c>
      <c r="E22" s="32">
        <f>SUM(E9:E21)</f>
        <v>2571886721.9994588</v>
      </c>
      <c r="F22" s="32"/>
      <c r="G22" s="74">
        <v>15</v>
      </c>
      <c r="H22" s="26" t="s">
        <v>4</v>
      </c>
      <c r="I22" s="26"/>
      <c r="J22" s="25">
        <f>SUM(J9:J21)</f>
        <v>-68184.57121335555</v>
      </c>
      <c r="K22" s="32">
        <f>SUM(K9:K21)</f>
        <v>2146299271.6103981</v>
      </c>
    </row>
    <row r="23" spans="1:11" x14ac:dyDescent="0.35">
      <c r="B23" s="26"/>
      <c r="C23" s="26"/>
      <c r="D23" s="25"/>
      <c r="E23" s="32"/>
      <c r="F23" s="32"/>
      <c r="G23" s="74"/>
      <c r="H23" s="26"/>
      <c r="I23" s="26"/>
      <c r="J23" s="25"/>
      <c r="K23" s="32"/>
    </row>
    <row r="24" spans="1:11" ht="28.15" customHeight="1" x14ac:dyDescent="0.35">
      <c r="A24" s="74">
        <v>16</v>
      </c>
      <c r="B24" s="176" t="s">
        <v>8</v>
      </c>
      <c r="C24" s="176"/>
      <c r="D24" s="27">
        <f>ROUND(D22/E22,5)</f>
        <v>-2.5999999999999998E-4</v>
      </c>
      <c r="E24" s="32"/>
      <c r="F24" s="32"/>
      <c r="G24" s="74">
        <v>16</v>
      </c>
      <c r="H24" s="176" t="s">
        <v>8</v>
      </c>
      <c r="I24" s="176"/>
      <c r="J24" s="27">
        <f>ROUND(J22/K22,5)</f>
        <v>-3.0000000000000001E-5</v>
      </c>
      <c r="K24" s="32"/>
    </row>
    <row r="25" spans="1:11" ht="28.15" customHeight="1" x14ac:dyDescent="0.35">
      <c r="A25" s="74">
        <v>17</v>
      </c>
      <c r="B25" s="176" t="s">
        <v>9</v>
      </c>
      <c r="C25" s="176"/>
      <c r="D25" s="27">
        <f>C7</f>
        <v>-6.6699999999999997E-3</v>
      </c>
      <c r="E25" s="32"/>
      <c r="F25" s="32"/>
      <c r="G25" s="74">
        <v>17</v>
      </c>
      <c r="H25" s="176" t="s">
        <v>9</v>
      </c>
      <c r="I25" s="176"/>
      <c r="J25" s="27">
        <f>I7</f>
        <v>-8.0999999999999996E-4</v>
      </c>
      <c r="K25" s="32"/>
    </row>
    <row r="26" spans="1:11" ht="28.9" customHeight="1" x14ac:dyDescent="0.35">
      <c r="A26" s="74">
        <v>18</v>
      </c>
      <c r="B26" s="176" t="s">
        <v>10</v>
      </c>
      <c r="C26" s="176"/>
      <c r="D26" s="27">
        <f>D24+D25</f>
        <v>-6.9299999999999995E-3</v>
      </c>
      <c r="E26" s="33"/>
      <c r="F26" s="33"/>
      <c r="G26" s="74">
        <v>18</v>
      </c>
      <c r="H26" s="176" t="s">
        <v>10</v>
      </c>
      <c r="I26" s="176"/>
      <c r="J26" s="27">
        <f>J24+J25</f>
        <v>-8.3999999999999993E-4</v>
      </c>
      <c r="K26" s="33"/>
    </row>
    <row r="27" spans="1:11" ht="28.9" customHeight="1" x14ac:dyDescent="0.35">
      <c r="A27" s="74">
        <v>19</v>
      </c>
      <c r="B27" s="178" t="s">
        <v>11</v>
      </c>
      <c r="C27" s="178"/>
      <c r="D27" s="28">
        <f>'Conversion Factor'!$E$114</f>
        <v>1.0459499999999999</v>
      </c>
      <c r="E27" s="32"/>
      <c r="F27" s="32"/>
      <c r="G27" s="74">
        <v>19</v>
      </c>
      <c r="H27" s="178" t="s">
        <v>11</v>
      </c>
      <c r="I27" s="178"/>
      <c r="J27" s="28">
        <f>D27</f>
        <v>1.0459499999999999</v>
      </c>
      <c r="K27" s="32"/>
    </row>
    <row r="28" spans="1:11" ht="30" customHeight="1" x14ac:dyDescent="0.35">
      <c r="A28" s="74">
        <v>20</v>
      </c>
      <c r="B28" s="26" t="s">
        <v>74</v>
      </c>
      <c r="C28" s="26"/>
      <c r="D28" s="27">
        <f>ROUND(D26*D27,5)</f>
        <v>-7.2500000000000004E-3</v>
      </c>
      <c r="E28" s="32"/>
      <c r="F28" s="32"/>
      <c r="G28" s="74">
        <v>20</v>
      </c>
      <c r="H28" s="26" t="s">
        <v>74</v>
      </c>
      <c r="I28" s="26"/>
      <c r="J28" s="27">
        <f>ROUND(J26*J27,5)</f>
        <v>-8.8000000000000003E-4</v>
      </c>
      <c r="K28" s="32"/>
    </row>
    <row r="29" spans="1:11" ht="27.65" customHeight="1" x14ac:dyDescent="0.35">
      <c r="A29" s="74">
        <v>21</v>
      </c>
      <c r="B29" s="26" t="s">
        <v>67</v>
      </c>
      <c r="C29" s="26"/>
      <c r="D29" s="27">
        <f>'Earnings Test and 3% Test'!D55</f>
        <v>0</v>
      </c>
      <c r="E29" s="32"/>
      <c r="F29" s="32"/>
      <c r="G29" s="74">
        <v>21</v>
      </c>
      <c r="H29" s="26" t="s">
        <v>67</v>
      </c>
      <c r="I29" s="26"/>
      <c r="J29" s="27">
        <f>'Earnings Test and 3% Test'!E55</f>
        <v>0</v>
      </c>
      <c r="K29" s="32"/>
    </row>
    <row r="30" spans="1:11" ht="27.65" customHeight="1" x14ac:dyDescent="0.35">
      <c r="A30" s="74">
        <v>22</v>
      </c>
      <c r="B30" s="26" t="s">
        <v>68</v>
      </c>
      <c r="C30" s="26"/>
      <c r="D30" s="27">
        <f>D28+D29</f>
        <v>-7.2500000000000004E-3</v>
      </c>
      <c r="E30" s="32" t="str">
        <f>IF(D30&lt;0,"Rebate Rate","Surcharge Rate")</f>
        <v>Rebate Rate</v>
      </c>
      <c r="F30" s="32"/>
      <c r="G30" s="74">
        <v>22</v>
      </c>
      <c r="H30" s="26" t="s">
        <v>68</v>
      </c>
      <c r="I30" s="26"/>
      <c r="J30" s="27">
        <f>J28+J29</f>
        <v>-8.8000000000000003E-4</v>
      </c>
      <c r="K30" s="32" t="str">
        <f>IF(J30&lt;0,"Rebate Rate","Surcharge Rate")</f>
        <v>Rebate Rate</v>
      </c>
    </row>
    <row r="31" spans="1:11" ht="28.15" customHeight="1" x14ac:dyDescent="0.35">
      <c r="A31" s="74">
        <v>23</v>
      </c>
      <c r="B31" s="26"/>
      <c r="C31" s="29" t="s">
        <v>71</v>
      </c>
      <c r="D31" s="27">
        <f>ROUND(D30*'Conversion Factor'!$E$108,5)</f>
        <v>-6.9300000000000004E-3</v>
      </c>
      <c r="E31" s="32" t="s">
        <v>12</v>
      </c>
      <c r="F31" s="32"/>
      <c r="G31" s="74">
        <v>23</v>
      </c>
      <c r="H31" s="26"/>
      <c r="I31" s="29" t="s">
        <v>71</v>
      </c>
      <c r="J31" s="27">
        <f>ROUND(J30*'Conversion Factor'!$E$108,5)</f>
        <v>-8.4000000000000003E-4</v>
      </c>
      <c r="K31" s="32" t="s">
        <v>12</v>
      </c>
    </row>
    <row r="32" spans="1:11" ht="29.5" customHeight="1" x14ac:dyDescent="0.35">
      <c r="A32" s="74">
        <v>24</v>
      </c>
      <c r="B32" s="26" t="s">
        <v>73</v>
      </c>
      <c r="C32" s="26"/>
      <c r="D32" s="25">
        <f>IF(D29=0,0,C68)</f>
        <v>0</v>
      </c>
      <c r="E32" s="167"/>
      <c r="F32" s="32"/>
      <c r="G32" s="74">
        <v>24</v>
      </c>
      <c r="H32" s="26" t="s">
        <v>73</v>
      </c>
      <c r="I32" s="26"/>
      <c r="J32" s="25">
        <f>IF(J29=0,0,I68)</f>
        <v>0</v>
      </c>
      <c r="K32" s="32"/>
    </row>
    <row r="33" spans="1:12" ht="18" customHeight="1" x14ac:dyDescent="0.35">
      <c r="B33" s="26"/>
      <c r="C33" s="26"/>
      <c r="D33" s="34"/>
      <c r="E33" s="26"/>
      <c r="F33" s="26"/>
      <c r="G33" s="26"/>
      <c r="H33" s="178"/>
      <c r="I33" s="178"/>
      <c r="J33" s="34"/>
      <c r="K33" s="26"/>
    </row>
    <row r="34" spans="1:12" ht="16.149999999999999" customHeight="1" x14ac:dyDescent="0.35">
      <c r="A34" s="52" t="s">
        <v>69</v>
      </c>
      <c r="B34" s="52"/>
      <c r="C34" s="26"/>
      <c r="D34" s="34"/>
      <c r="E34" s="26"/>
      <c r="F34" s="26"/>
      <c r="G34" s="52" t="s">
        <v>69</v>
      </c>
      <c r="H34" s="52"/>
      <c r="I34" s="26"/>
      <c r="J34" s="34"/>
      <c r="K34" s="26"/>
    </row>
    <row r="35" spans="1:12" ht="43.15" customHeight="1" x14ac:dyDescent="0.35">
      <c r="A35" s="82" t="s">
        <v>98</v>
      </c>
      <c r="B35" s="174" t="str">
        <f>"Deferral balance at the end of the month, Rate of "&amp;TEXT(D25,"$0.00000")&amp;" to recover the July 2023 balance of "&amp;TEXT(C8,"$000,000")&amp;" over 12 months.  See page 2 and 5 of Attachment A for July 2023 balance calculation."</f>
        <v>Deferral balance at the end of the month, Rate of -$0.00667 to recover the July 2023 balance of -$17,156,870 over 12 months.  See page 2 and 5 of Attachment A for July 2023 balance calculation.</v>
      </c>
      <c r="C35" s="174"/>
      <c r="D35" s="174"/>
      <c r="E35" s="174"/>
      <c r="F35" s="26"/>
      <c r="G35" s="82" t="s">
        <v>98</v>
      </c>
      <c r="H35" s="174" t="str">
        <f>"Deferral balance at the end of the month, Rate of "&amp;TEXT(J25,"$0.00000")&amp;" to recover the July 2023 balance of "&amp;TEXT(I8,"$000,000")&amp;" over 12 months.  See page 4 and 5 of Attachment A for July 2023 balance calculation."</f>
        <v>Deferral balance at the end of the month, Rate of -$0.00081 to recover the July 2023 balance of -$1,745,066 over 12 months.  See page 4 and 5 of Attachment A for July 2023 balance calculation.</v>
      </c>
      <c r="I35" s="174"/>
      <c r="J35" s="174"/>
      <c r="K35" s="174"/>
    </row>
    <row r="36" spans="1:12" ht="28.9" customHeight="1" x14ac:dyDescent="0.35">
      <c r="A36" s="82" t="s">
        <v>99</v>
      </c>
      <c r="B36" s="175" t="s">
        <v>100</v>
      </c>
      <c r="C36" s="175"/>
      <c r="D36" s="175"/>
      <c r="E36" s="175"/>
      <c r="F36" s="26"/>
      <c r="G36" s="82" t="s">
        <v>99</v>
      </c>
      <c r="H36" s="175" t="s">
        <v>100</v>
      </c>
      <c r="I36" s="175"/>
      <c r="J36" s="175"/>
      <c r="K36" s="175"/>
    </row>
    <row r="37" spans="1:12" ht="15.65" customHeight="1" x14ac:dyDescent="0.35">
      <c r="B37" s="56" t="s">
        <v>72</v>
      </c>
      <c r="C37" s="57"/>
      <c r="D37" s="57"/>
      <c r="E37" s="57"/>
      <c r="F37" s="26"/>
      <c r="H37" s="56" t="s">
        <v>72</v>
      </c>
      <c r="I37" s="79"/>
      <c r="J37" s="79"/>
      <c r="K37" s="79"/>
    </row>
    <row r="38" spans="1:12" ht="18" customHeight="1" x14ac:dyDescent="0.35">
      <c r="A38" s="97" t="s">
        <v>101</v>
      </c>
      <c r="B38" s="171" t="s">
        <v>200</v>
      </c>
      <c r="C38" s="171"/>
      <c r="D38" s="171"/>
      <c r="E38" s="171"/>
      <c r="F38" s="26"/>
      <c r="G38" s="97" t="s">
        <v>101</v>
      </c>
      <c r="H38" s="171" t="s">
        <v>200</v>
      </c>
      <c r="I38" s="171"/>
      <c r="J38" s="171"/>
      <c r="K38" s="171"/>
    </row>
    <row r="39" spans="1:12" ht="18" customHeight="1" x14ac:dyDescent="0.35">
      <c r="A39" s="97" t="s">
        <v>102</v>
      </c>
      <c r="B39" s="172" t="s">
        <v>117</v>
      </c>
      <c r="C39" s="172"/>
      <c r="D39" s="172"/>
      <c r="E39" s="172"/>
      <c r="F39" s="26"/>
      <c r="G39" s="97" t="s">
        <v>102</v>
      </c>
      <c r="H39" s="172" t="s">
        <v>117</v>
      </c>
      <c r="I39" s="172"/>
      <c r="J39" s="172"/>
      <c r="K39" s="172"/>
    </row>
    <row r="40" spans="1:12" ht="18" customHeight="1" x14ac:dyDescent="0.35">
      <c r="A40" s="97" t="s">
        <v>103</v>
      </c>
      <c r="B40" s="172" t="s">
        <v>104</v>
      </c>
      <c r="C40" s="172"/>
      <c r="D40" s="172"/>
      <c r="E40" s="172"/>
      <c r="F40" s="26"/>
      <c r="G40" s="97" t="s">
        <v>103</v>
      </c>
      <c r="H40" s="172" t="s">
        <v>118</v>
      </c>
      <c r="I40" s="172"/>
      <c r="J40" s="172"/>
      <c r="K40" s="172"/>
    </row>
    <row r="41" spans="1:12" ht="14.5" customHeight="1" x14ac:dyDescent="0.35">
      <c r="B41" s="60"/>
      <c r="C41" s="60"/>
      <c r="D41" s="34"/>
      <c r="E41" s="26"/>
      <c r="F41" s="26"/>
      <c r="G41" s="26"/>
      <c r="H41" s="60"/>
      <c r="I41" s="60"/>
      <c r="J41" s="34"/>
      <c r="K41" s="26"/>
    </row>
    <row r="42" spans="1:12" ht="27.65" customHeight="1" x14ac:dyDescent="0.45">
      <c r="B42" s="179" t="str">
        <f>B5</f>
        <v>Residential Electric</v>
      </c>
      <c r="C42" s="179"/>
      <c r="D42" s="179"/>
      <c r="E42" s="179"/>
      <c r="F42" s="58"/>
      <c r="G42" s="26"/>
      <c r="H42" s="179" t="str">
        <f>H5</f>
        <v>Non-Residential Electric</v>
      </c>
      <c r="I42" s="179"/>
      <c r="J42" s="179"/>
      <c r="K42" s="179"/>
    </row>
    <row r="43" spans="1:12" x14ac:dyDescent="0.35">
      <c r="B43" s="177" t="s">
        <v>191</v>
      </c>
      <c r="C43" s="177"/>
      <c r="D43" s="177"/>
      <c r="E43" s="177"/>
      <c r="F43" s="26"/>
      <c r="G43" s="26"/>
      <c r="H43" s="177" t="str">
        <f>B43</f>
        <v>Calculate Estimated Monthly Balances through July 2024</v>
      </c>
      <c r="I43" s="177"/>
      <c r="J43" s="177"/>
      <c r="K43" s="177"/>
    </row>
    <row r="44" spans="1:12" ht="27.65" customHeight="1" x14ac:dyDescent="0.35">
      <c r="A44" s="75" t="s">
        <v>91</v>
      </c>
      <c r="B44" s="26"/>
      <c r="C44" s="58" t="s">
        <v>7</v>
      </c>
      <c r="D44" s="58" t="s">
        <v>3</v>
      </c>
      <c r="E44" s="59" t="s">
        <v>70</v>
      </c>
      <c r="F44" s="120" t="s">
        <v>116</v>
      </c>
      <c r="G44" s="75" t="s">
        <v>91</v>
      </c>
      <c r="H44" s="26"/>
      <c r="I44" s="58" t="s">
        <v>7</v>
      </c>
      <c r="J44" s="58" t="s">
        <v>3</v>
      </c>
      <c r="K44" s="61" t="s">
        <v>70</v>
      </c>
      <c r="L44" s="120" t="s">
        <v>116</v>
      </c>
    </row>
    <row r="45" spans="1:12" x14ac:dyDescent="0.35">
      <c r="B45" s="26"/>
      <c r="C45" s="26"/>
      <c r="D45" s="55"/>
      <c r="E45" s="26"/>
      <c r="F45" s="26"/>
      <c r="G45" s="26"/>
      <c r="H45" s="26"/>
      <c r="I45" s="26"/>
      <c r="J45" s="55"/>
      <c r="K45" s="26"/>
    </row>
    <row r="46" spans="1:12" x14ac:dyDescent="0.35">
      <c r="A46" s="76">
        <v>1</v>
      </c>
      <c r="B46" s="157">
        <v>44896</v>
      </c>
      <c r="C46" s="143">
        <v>-16125774</v>
      </c>
      <c r="D46" s="26"/>
      <c r="E46" s="26"/>
      <c r="F46" s="26"/>
      <c r="G46" s="76">
        <v>1</v>
      </c>
      <c r="H46" s="156">
        <f>B46</f>
        <v>44896</v>
      </c>
      <c r="I46" s="143">
        <v>384924</v>
      </c>
      <c r="J46" s="26"/>
      <c r="K46" s="26"/>
    </row>
    <row r="47" spans="1:12" x14ac:dyDescent="0.35">
      <c r="A47" s="76">
        <v>2</v>
      </c>
      <c r="B47" s="51" t="s">
        <v>75</v>
      </c>
      <c r="C47" s="25">
        <f>-'Earnings Test and 3% Test'!E34</f>
        <v>0</v>
      </c>
      <c r="D47" s="26"/>
      <c r="E47" s="26"/>
      <c r="F47" s="26"/>
      <c r="G47" s="76">
        <v>2</v>
      </c>
      <c r="H47" s="51" t="s">
        <v>75</v>
      </c>
      <c r="I47" s="25">
        <f>-'Earnings Test and 3% Test'!E35</f>
        <v>0</v>
      </c>
      <c r="J47" s="26"/>
      <c r="K47" s="26"/>
    </row>
    <row r="48" spans="1:12" x14ac:dyDescent="0.35">
      <c r="A48" s="76">
        <v>3</v>
      </c>
      <c r="B48" s="51" t="s">
        <v>76</v>
      </c>
      <c r="C48" s="25">
        <f>C46+C47</f>
        <v>-16125774</v>
      </c>
      <c r="D48" s="26"/>
      <c r="E48" s="26"/>
      <c r="F48" s="26"/>
      <c r="G48" s="76">
        <v>3</v>
      </c>
      <c r="H48" s="51" t="s">
        <v>76</v>
      </c>
      <c r="I48" s="25">
        <f>I46+I47</f>
        <v>384924</v>
      </c>
      <c r="J48" s="26"/>
      <c r="K48" s="26"/>
    </row>
    <row r="49" spans="1:13" x14ac:dyDescent="0.35">
      <c r="A49" s="76">
        <v>4</v>
      </c>
      <c r="B49" s="141">
        <v>44927</v>
      </c>
      <c r="C49" s="25">
        <f>C48+D49-E49</f>
        <v>-16210568.694949999</v>
      </c>
      <c r="D49" s="25">
        <f>(C48-E49/2)*F49/12</f>
        <v>-84794.694950000005</v>
      </c>
      <c r="E49" s="26"/>
      <c r="F49" s="34">
        <v>6.3100000000000003E-2</v>
      </c>
      <c r="G49" s="76">
        <v>4</v>
      </c>
      <c r="H49" s="51">
        <f>B49</f>
        <v>44927</v>
      </c>
      <c r="I49" s="25">
        <f>I48+J49-K49</f>
        <v>386948.05869999999</v>
      </c>
      <c r="J49" s="25">
        <f>(I48-K49/2)*L49/12</f>
        <v>2024.0587000000003</v>
      </c>
      <c r="K49" s="26"/>
      <c r="L49" s="36">
        <f>F49</f>
        <v>6.3100000000000003E-2</v>
      </c>
    </row>
    <row r="50" spans="1:13" x14ac:dyDescent="0.35">
      <c r="A50" s="76">
        <v>5</v>
      </c>
      <c r="B50" s="51">
        <f>B49+31</f>
        <v>44958</v>
      </c>
      <c r="C50" s="25">
        <f t="shared" ref="C50:C55" si="6">C49+D50-E50</f>
        <v>-16295809.268670944</v>
      </c>
      <c r="D50" s="25">
        <f t="shared" ref="D50:D55" si="7">(C49-E50/2)*F50/12</f>
        <v>-85240.573720945409</v>
      </c>
      <c r="E50" s="26"/>
      <c r="F50" s="121">
        <f>F49</f>
        <v>6.3100000000000003E-2</v>
      </c>
      <c r="G50" s="76">
        <v>5</v>
      </c>
      <c r="H50" s="51">
        <f t="shared" ref="H50:H68" si="8">B50</f>
        <v>44958</v>
      </c>
      <c r="I50" s="25">
        <f t="shared" ref="I50:I55" si="9">I49+J50-K50</f>
        <v>388982.76057533082</v>
      </c>
      <c r="J50" s="25">
        <f t="shared" ref="J50:J55" si="10">(I49-K50/2)*L50/12</f>
        <v>2034.7018753308332</v>
      </c>
      <c r="K50" s="26"/>
      <c r="L50" s="36">
        <f t="shared" ref="L50:L68" si="11">F50</f>
        <v>6.3100000000000003E-2</v>
      </c>
    </row>
    <row r="51" spans="1:13" x14ac:dyDescent="0.35">
      <c r="A51" s="76">
        <v>6</v>
      </c>
      <c r="B51" s="51">
        <f t="shared" ref="B51:B55" si="12">B50+31</f>
        <v>44989</v>
      </c>
      <c r="C51" s="25">
        <f t="shared" si="6"/>
        <v>-16381498.06574204</v>
      </c>
      <c r="D51" s="25">
        <f t="shared" si="7"/>
        <v>-85688.797071094727</v>
      </c>
      <c r="E51" s="26"/>
      <c r="F51" s="121">
        <f t="shared" ref="F51:F54" si="13">F50</f>
        <v>6.3100000000000003E-2</v>
      </c>
      <c r="G51" s="76">
        <v>6</v>
      </c>
      <c r="H51" s="51">
        <f t="shared" si="8"/>
        <v>44989</v>
      </c>
      <c r="I51" s="25">
        <f t="shared" si="9"/>
        <v>391028.1615913561</v>
      </c>
      <c r="J51" s="25">
        <f t="shared" si="10"/>
        <v>2045.4010160252813</v>
      </c>
      <c r="K51" s="26"/>
      <c r="L51" s="36">
        <f t="shared" si="11"/>
        <v>6.3100000000000003E-2</v>
      </c>
    </row>
    <row r="52" spans="1:13" x14ac:dyDescent="0.35">
      <c r="A52" s="76">
        <v>7</v>
      </c>
      <c r="B52" s="51">
        <f t="shared" si="12"/>
        <v>45020</v>
      </c>
      <c r="C52" s="25">
        <f t="shared" si="6"/>
        <v>-16483882.428652927</v>
      </c>
      <c r="D52" s="25">
        <f t="shared" si="7"/>
        <v>-102384.36291088775</v>
      </c>
      <c r="E52" s="26"/>
      <c r="F52" s="121">
        <v>7.4999999999999997E-2</v>
      </c>
      <c r="G52" s="76">
        <v>7</v>
      </c>
      <c r="H52" s="51">
        <f t="shared" si="8"/>
        <v>45020</v>
      </c>
      <c r="I52" s="25">
        <f t="shared" si="9"/>
        <v>393472.08760130208</v>
      </c>
      <c r="J52" s="25">
        <f t="shared" si="10"/>
        <v>2443.9260099459757</v>
      </c>
      <c r="K52" s="26"/>
      <c r="L52" s="36">
        <f t="shared" si="11"/>
        <v>7.4999999999999997E-2</v>
      </c>
      <c r="M52" s="65"/>
    </row>
    <row r="53" spans="1:13" x14ac:dyDescent="0.35">
      <c r="A53" s="76">
        <v>8</v>
      </c>
      <c r="B53" s="51">
        <f t="shared" si="12"/>
        <v>45051</v>
      </c>
      <c r="C53" s="25">
        <f t="shared" si="6"/>
        <v>-16586906.693832008</v>
      </c>
      <c r="D53" s="25">
        <f t="shared" si="7"/>
        <v>-103024.26517908079</v>
      </c>
      <c r="E53" s="26"/>
      <c r="F53" s="121">
        <f t="shared" si="13"/>
        <v>7.4999999999999997E-2</v>
      </c>
      <c r="G53" s="76">
        <v>8</v>
      </c>
      <c r="H53" s="51">
        <f t="shared" si="8"/>
        <v>45051</v>
      </c>
      <c r="I53" s="25">
        <f t="shared" si="9"/>
        <v>395931.28814881021</v>
      </c>
      <c r="J53" s="25">
        <f t="shared" si="10"/>
        <v>2459.2005475081378</v>
      </c>
      <c r="K53" s="26"/>
      <c r="L53" s="36">
        <f t="shared" si="11"/>
        <v>7.4999999999999997E-2</v>
      </c>
    </row>
    <row r="54" spans="1:13" x14ac:dyDescent="0.35">
      <c r="A54" s="76">
        <v>9</v>
      </c>
      <c r="B54" s="51">
        <f t="shared" si="12"/>
        <v>45082</v>
      </c>
      <c r="C54" s="25">
        <f t="shared" si="6"/>
        <v>-16690574.860668458</v>
      </c>
      <c r="D54" s="25">
        <f t="shared" si="7"/>
        <v>-103668.16683645005</v>
      </c>
      <c r="E54" s="26"/>
      <c r="F54" s="121">
        <f t="shared" si="13"/>
        <v>7.4999999999999997E-2</v>
      </c>
      <c r="G54" s="76">
        <v>9</v>
      </c>
      <c r="H54" s="51">
        <f t="shared" si="8"/>
        <v>45082</v>
      </c>
      <c r="I54" s="25">
        <f t="shared" si="9"/>
        <v>398405.85869974026</v>
      </c>
      <c r="J54" s="25">
        <f t="shared" si="10"/>
        <v>2474.5705509300637</v>
      </c>
      <c r="K54" s="26"/>
      <c r="L54" s="36">
        <f t="shared" si="11"/>
        <v>7.4999999999999997E-2</v>
      </c>
    </row>
    <row r="55" spans="1:13" x14ac:dyDescent="0.35">
      <c r="A55" s="76">
        <v>10</v>
      </c>
      <c r="B55" s="53">
        <f t="shared" si="12"/>
        <v>45113</v>
      </c>
      <c r="C55" s="54">
        <f t="shared" si="6"/>
        <v>-16794890.953547634</v>
      </c>
      <c r="D55" s="25">
        <f t="shared" si="7"/>
        <v>-104316.09287917787</v>
      </c>
      <c r="E55" s="26"/>
      <c r="F55" s="121">
        <v>7.4999999999999997E-2</v>
      </c>
      <c r="G55" s="76">
        <v>10</v>
      </c>
      <c r="H55" s="53">
        <f t="shared" si="8"/>
        <v>45113</v>
      </c>
      <c r="I55" s="54">
        <f t="shared" si="9"/>
        <v>400895.89531661366</v>
      </c>
      <c r="J55" s="25">
        <f t="shared" si="10"/>
        <v>2490.0366168733767</v>
      </c>
      <c r="K55" s="26"/>
      <c r="L55" s="36">
        <f t="shared" si="11"/>
        <v>7.4999999999999997E-2</v>
      </c>
    </row>
    <row r="56" spans="1:13" x14ac:dyDescent="0.35">
      <c r="A56" s="84">
        <v>14</v>
      </c>
      <c r="B56" s="96" t="s">
        <v>168</v>
      </c>
      <c r="C56" s="54">
        <f>'Prior Year Amortization'!F20</f>
        <v>-361978.81999999995</v>
      </c>
      <c r="D56" s="25"/>
      <c r="E56" s="26"/>
      <c r="F56" s="26"/>
      <c r="G56" s="84">
        <v>14</v>
      </c>
      <c r="H56" s="96" t="str">
        <f t="shared" si="8"/>
        <v xml:space="preserve">Prior Year Carryover Balance </v>
      </c>
      <c r="I56" s="54">
        <f>'Prior Year Amortization'!F37</f>
        <v>-2145962.1799999997</v>
      </c>
      <c r="J56" s="25"/>
      <c r="K56" s="26"/>
    </row>
    <row r="57" spans="1:13" x14ac:dyDescent="0.35">
      <c r="A57" s="84">
        <v>15</v>
      </c>
      <c r="B57" s="51">
        <f>B55+31</f>
        <v>45144</v>
      </c>
      <c r="C57" s="25">
        <f>C55+D57+C56-E57</f>
        <v>-15767320.223738851</v>
      </c>
      <c r="D57" s="25">
        <f>(C55+C56-E57/2)*F57/12</f>
        <v>-102567.57008500461</v>
      </c>
      <c r="E57" s="25">
        <f>E9*D$31</f>
        <v>-1492117.1198937874</v>
      </c>
      <c r="F57" s="121">
        <f>F55</f>
        <v>7.4999999999999997E-2</v>
      </c>
      <c r="G57" s="84">
        <v>15</v>
      </c>
      <c r="H57" s="51">
        <f t="shared" si="8"/>
        <v>45144</v>
      </c>
      <c r="I57" s="25">
        <f>I55+J57+I56-K57</f>
        <v>-1588631.7625663709</v>
      </c>
      <c r="J57" s="25">
        <f>(I55+I56-K57/2)*L57/12</f>
        <v>-10385.352172117624</v>
      </c>
      <c r="K57" s="25">
        <f t="shared" ref="K57:K68" si="14">K9*J$31</f>
        <v>-166819.87428913257</v>
      </c>
      <c r="L57" s="36">
        <f t="shared" si="11"/>
        <v>7.4999999999999997E-2</v>
      </c>
    </row>
    <row r="58" spans="1:13" x14ac:dyDescent="0.35">
      <c r="A58" s="84">
        <v>16</v>
      </c>
      <c r="B58" s="51">
        <f t="shared" ref="B58:B67" si="15">B57+31</f>
        <v>45175</v>
      </c>
      <c r="C58" s="25">
        <f t="shared" ref="C58:C67" si="16">C57+D58-E58</f>
        <v>-14718861.643022995</v>
      </c>
      <c r="D58" s="25">
        <f t="shared" ref="D58:D68" si="17">(C57-E58/2)*F58/12</f>
        <v>-94972.529179943434</v>
      </c>
      <c r="E58" s="25">
        <f t="shared" ref="E58:E68" si="18">E10*D$31</f>
        <v>-1143431.1098957984</v>
      </c>
      <c r="F58" s="121">
        <f t="shared" ref="F58:F68" si="19">F57</f>
        <v>7.4999999999999997E-2</v>
      </c>
      <c r="G58" s="84">
        <v>16</v>
      </c>
      <c r="H58" s="51">
        <f t="shared" si="8"/>
        <v>45175</v>
      </c>
      <c r="I58" s="25">
        <f t="shared" ref="I58:I68" si="20">I57+J58-K58</f>
        <v>-1448467.7913938018</v>
      </c>
      <c r="J58" s="25">
        <f>(I57-K58/2)*L58/12</f>
        <v>-9461.3693269787309</v>
      </c>
      <c r="K58" s="25">
        <f t="shared" si="14"/>
        <v>-149625.34049954775</v>
      </c>
      <c r="L58" s="36">
        <f t="shared" si="11"/>
        <v>7.4999999999999997E-2</v>
      </c>
    </row>
    <row r="59" spans="1:13" ht="14.5" customHeight="1" x14ac:dyDescent="0.35">
      <c r="A59" s="84">
        <v>17</v>
      </c>
      <c r="B59" s="51">
        <f t="shared" si="15"/>
        <v>45206</v>
      </c>
      <c r="C59" s="25">
        <f t="shared" si="16"/>
        <v>-13599274.686014982</v>
      </c>
      <c r="D59" s="25">
        <f t="shared" si="17"/>
        <v>-88218.493236878421</v>
      </c>
      <c r="E59" s="25">
        <f t="shared" si="18"/>
        <v>-1207805.4502448924</v>
      </c>
      <c r="F59" s="121">
        <f t="shared" si="19"/>
        <v>7.4999999999999997E-2</v>
      </c>
      <c r="G59" s="84">
        <v>17</v>
      </c>
      <c r="H59" s="51">
        <f t="shared" si="8"/>
        <v>45206</v>
      </c>
      <c r="I59" s="25">
        <f t="shared" si="20"/>
        <v>-1305304.0862917341</v>
      </c>
      <c r="J59" s="25">
        <f t="shared" ref="J59:J68" si="21">(I58-K59/2)*L59/12</f>
        <v>-8578.728590920673</v>
      </c>
      <c r="K59" s="25">
        <f t="shared" si="14"/>
        <v>-151742.43369298812</v>
      </c>
      <c r="L59" s="36">
        <f t="shared" si="11"/>
        <v>7.4999999999999997E-2</v>
      </c>
    </row>
    <row r="60" spans="1:13" x14ac:dyDescent="0.35">
      <c r="A60" s="84">
        <v>18</v>
      </c>
      <c r="B60" s="51">
        <f t="shared" si="15"/>
        <v>45237</v>
      </c>
      <c r="C60" s="25">
        <f t="shared" si="16"/>
        <v>-12053927.107134469</v>
      </c>
      <c r="D60" s="25">
        <f t="shared" si="17"/>
        <v>-79916.516489562142</v>
      </c>
      <c r="E60" s="25">
        <f t="shared" si="18"/>
        <v>-1625264.095370075</v>
      </c>
      <c r="F60" s="121">
        <f t="shared" si="19"/>
        <v>7.4999999999999997E-2</v>
      </c>
      <c r="G60" s="84">
        <v>18</v>
      </c>
      <c r="H60" s="51">
        <f t="shared" si="8"/>
        <v>45237</v>
      </c>
      <c r="I60" s="25">
        <f t="shared" si="20"/>
        <v>-1160797.1710606783</v>
      </c>
      <c r="J60" s="25">
        <f t="shared" si="21"/>
        <v>-7682.5584341196654</v>
      </c>
      <c r="K60" s="25">
        <f t="shared" si="14"/>
        <v>-152189.47366517555</v>
      </c>
      <c r="L60" s="36">
        <f t="shared" si="11"/>
        <v>7.4999999999999997E-2</v>
      </c>
    </row>
    <row r="61" spans="1:13" x14ac:dyDescent="0.35">
      <c r="A61" s="84">
        <v>19</v>
      </c>
      <c r="B61" s="51">
        <f t="shared" si="15"/>
        <v>45268</v>
      </c>
      <c r="C61" s="25">
        <f t="shared" si="16"/>
        <v>-10071118.087378344</v>
      </c>
      <c r="D61" s="25">
        <f t="shared" si="17"/>
        <v>-68925.374437734616</v>
      </c>
      <c r="E61" s="25">
        <f t="shared" si="18"/>
        <v>-2051734.3941938602</v>
      </c>
      <c r="F61" s="121">
        <f t="shared" si="19"/>
        <v>7.4999999999999997E-2</v>
      </c>
      <c r="G61" s="84">
        <v>19</v>
      </c>
      <c r="H61" s="51">
        <f t="shared" si="8"/>
        <v>45268</v>
      </c>
      <c r="I61" s="25">
        <f t="shared" si="20"/>
        <v>-1011644.0597378578</v>
      </c>
      <c r="J61" s="25">
        <f t="shared" si="21"/>
        <v>-6767.7296909611714</v>
      </c>
      <c r="K61" s="25">
        <f t="shared" si="14"/>
        <v>-155920.84101378164</v>
      </c>
      <c r="L61" s="36">
        <f t="shared" si="11"/>
        <v>7.4999999999999997E-2</v>
      </c>
    </row>
    <row r="62" spans="1:13" x14ac:dyDescent="0.35">
      <c r="A62" s="84">
        <v>20</v>
      </c>
      <c r="B62" s="51">
        <f t="shared" si="15"/>
        <v>45299</v>
      </c>
      <c r="C62" s="25">
        <f t="shared" si="16"/>
        <v>-8041141.2628149642</v>
      </c>
      <c r="D62" s="25">
        <f t="shared" si="17"/>
        <v>-56424.483956988493</v>
      </c>
      <c r="E62" s="25">
        <f t="shared" si="18"/>
        <v>-2086401.3085203681</v>
      </c>
      <c r="F62" s="121">
        <f t="shared" si="19"/>
        <v>7.4999999999999997E-2</v>
      </c>
      <c r="G62" s="84">
        <v>20</v>
      </c>
      <c r="H62" s="51">
        <f t="shared" si="8"/>
        <v>45299</v>
      </c>
      <c r="I62" s="25">
        <f t="shared" si="20"/>
        <v>-866373.29726036079</v>
      </c>
      <c r="J62" s="25">
        <f t="shared" si="21"/>
        <v>-5850.5213613651658</v>
      </c>
      <c r="K62" s="25">
        <f t="shared" si="14"/>
        <v>-151121.28383886226</v>
      </c>
      <c r="L62" s="36">
        <f t="shared" si="11"/>
        <v>7.4999999999999997E-2</v>
      </c>
    </row>
    <row r="63" spans="1:13" x14ac:dyDescent="0.35">
      <c r="A63" s="84">
        <v>21</v>
      </c>
      <c r="B63" s="51">
        <f t="shared" si="15"/>
        <v>45330</v>
      </c>
      <c r="C63" s="25">
        <f t="shared" si="16"/>
        <v>-6311199.316837715</v>
      </c>
      <c r="D63" s="25">
        <f t="shared" si="17"/>
        <v>-44711.341369634516</v>
      </c>
      <c r="E63" s="25">
        <f t="shared" si="18"/>
        <v>-1774653.2873468841</v>
      </c>
      <c r="F63" s="121">
        <f t="shared" si="19"/>
        <v>7.4999999999999997E-2</v>
      </c>
      <c r="G63" s="84">
        <v>21</v>
      </c>
      <c r="H63" s="51">
        <f t="shared" si="8"/>
        <v>45330</v>
      </c>
      <c r="I63" s="25">
        <f t="shared" si="20"/>
        <v>-727235.89363406936</v>
      </c>
      <c r="J63" s="25">
        <f t="shared" si="21"/>
        <v>-4964.5146133782873</v>
      </c>
      <c r="K63" s="25">
        <f t="shared" si="14"/>
        <v>-144101.91823966973</v>
      </c>
      <c r="L63" s="36">
        <f t="shared" si="11"/>
        <v>7.4999999999999997E-2</v>
      </c>
    </row>
    <row r="64" spans="1:13" x14ac:dyDescent="0.35">
      <c r="A64" s="84">
        <v>22</v>
      </c>
      <c r="B64" s="51">
        <f t="shared" si="15"/>
        <v>45361</v>
      </c>
      <c r="C64" s="25">
        <f t="shared" si="16"/>
        <v>-4775360.096498847</v>
      </c>
      <c r="D64" s="25">
        <f t="shared" si="17"/>
        <v>-34537.568265845985</v>
      </c>
      <c r="E64" s="25">
        <f t="shared" si="18"/>
        <v>-1570376.7886047137</v>
      </c>
      <c r="F64" s="121">
        <f t="shared" si="19"/>
        <v>7.4999999999999997E-2</v>
      </c>
      <c r="G64" s="84">
        <v>22</v>
      </c>
      <c r="H64" s="51">
        <f t="shared" si="8"/>
        <v>45361</v>
      </c>
      <c r="I64" s="25">
        <f t="shared" si="20"/>
        <v>-592097.73914726486</v>
      </c>
      <c r="J64" s="25">
        <f t="shared" si="21"/>
        <v>-4110.0736223717577</v>
      </c>
      <c r="K64" s="25">
        <f t="shared" si="14"/>
        <v>-139248.22810917627</v>
      </c>
      <c r="L64" s="36">
        <f t="shared" si="11"/>
        <v>7.4999999999999997E-2</v>
      </c>
    </row>
    <row r="65" spans="1:12" x14ac:dyDescent="0.35">
      <c r="A65" s="84">
        <v>23</v>
      </c>
      <c r="B65" s="51">
        <f t="shared" si="15"/>
        <v>45392</v>
      </c>
      <c r="C65" s="25">
        <f t="shared" si="16"/>
        <v>-3529769.7401597016</v>
      </c>
      <c r="D65" s="25">
        <f t="shared" si="17"/>
        <v>-25872.678618873979</v>
      </c>
      <c r="E65" s="25">
        <f t="shared" si="18"/>
        <v>-1271463.0349580196</v>
      </c>
      <c r="F65" s="121">
        <f t="shared" si="19"/>
        <v>7.4999999999999997E-2</v>
      </c>
      <c r="G65" s="84">
        <v>23</v>
      </c>
      <c r="H65" s="51">
        <f t="shared" si="8"/>
        <v>45392</v>
      </c>
      <c r="I65" s="25">
        <f t="shared" si="20"/>
        <v>-463695.25034125085</v>
      </c>
      <c r="J65" s="25">
        <f t="shared" si="21"/>
        <v>-3289.0747336090831</v>
      </c>
      <c r="K65" s="25">
        <f t="shared" si="14"/>
        <v>-131691.56353962311</v>
      </c>
      <c r="L65" s="36">
        <f t="shared" si="11"/>
        <v>7.4999999999999997E-2</v>
      </c>
    </row>
    <row r="66" spans="1:12" x14ac:dyDescent="0.35">
      <c r="A66" s="84">
        <v>24</v>
      </c>
      <c r="B66" s="51">
        <f t="shared" si="15"/>
        <v>45423</v>
      </c>
      <c r="C66" s="25">
        <f t="shared" si="16"/>
        <v>-2405678.3950428395</v>
      </c>
      <c r="D66" s="25">
        <f t="shared" si="17"/>
        <v>-18490.49263302972</v>
      </c>
      <c r="E66" s="25">
        <f t="shared" si="18"/>
        <v>-1142581.8377498921</v>
      </c>
      <c r="F66" s="121">
        <f t="shared" si="19"/>
        <v>7.4999999999999997E-2</v>
      </c>
      <c r="G66" s="84">
        <v>24</v>
      </c>
      <c r="H66" s="51">
        <f t="shared" si="8"/>
        <v>45423</v>
      </c>
      <c r="I66" s="25">
        <f t="shared" si="20"/>
        <v>-326281.98487220472</v>
      </c>
      <c r="J66" s="25">
        <f t="shared" si="21"/>
        <v>-2460.9882716930078</v>
      </c>
      <c r="K66" s="25">
        <f t="shared" si="14"/>
        <v>-139874.25374073914</v>
      </c>
      <c r="L66" s="36">
        <f t="shared" si="11"/>
        <v>7.4999999999999997E-2</v>
      </c>
    </row>
    <row r="67" spans="1:12" x14ac:dyDescent="0.35">
      <c r="A67" s="84">
        <v>25</v>
      </c>
      <c r="B67" s="51">
        <f t="shared" si="15"/>
        <v>45454</v>
      </c>
      <c r="C67" s="25">
        <f t="shared" si="16"/>
        <v>-1294957.7439225437</v>
      </c>
      <c r="D67" s="25">
        <f t="shared" si="17"/>
        <v>-11528.461492103997</v>
      </c>
      <c r="E67" s="25">
        <f t="shared" si="18"/>
        <v>-1122249.1126123997</v>
      </c>
      <c r="F67" s="121">
        <f t="shared" si="19"/>
        <v>7.4999999999999997E-2</v>
      </c>
      <c r="G67" s="84">
        <v>25</v>
      </c>
      <c r="H67" s="51">
        <f t="shared" si="8"/>
        <v>45454</v>
      </c>
      <c r="I67" s="25">
        <f t="shared" si="20"/>
        <v>-176629.41378633017</v>
      </c>
      <c r="J67" s="25">
        <f t="shared" si="21"/>
        <v>-1566.7021765063391</v>
      </c>
      <c r="K67" s="25">
        <f t="shared" si="14"/>
        <v>-151219.27326238088</v>
      </c>
      <c r="L67" s="36">
        <f t="shared" si="11"/>
        <v>7.4999999999999997E-2</v>
      </c>
    </row>
    <row r="68" spans="1:12" x14ac:dyDescent="0.35">
      <c r="A68" s="84">
        <v>26</v>
      </c>
      <c r="B68" s="53">
        <f>B67+31</f>
        <v>45485</v>
      </c>
      <c r="C68" s="54">
        <f>C67+D68-E68</f>
        <v>36218.393756201025</v>
      </c>
      <c r="D68" s="25">
        <f t="shared" si="17"/>
        <v>-3921.3063868110366</v>
      </c>
      <c r="E68" s="25">
        <f t="shared" si="18"/>
        <v>-1335097.4440655557</v>
      </c>
      <c r="F68" s="121">
        <f t="shared" si="19"/>
        <v>7.4999999999999997E-2</v>
      </c>
      <c r="G68" s="76">
        <v>26</v>
      </c>
      <c r="H68" s="53">
        <f t="shared" si="8"/>
        <v>45485</v>
      </c>
      <c r="I68" s="54">
        <f t="shared" si="20"/>
        <v>-7867.2655350193672</v>
      </c>
      <c r="J68" s="25">
        <f t="shared" si="21"/>
        <v>-574.75601034688327</v>
      </c>
      <c r="K68" s="25">
        <f t="shared" si="14"/>
        <v>-169336.90426165768</v>
      </c>
      <c r="L68" s="36">
        <f t="shared" si="11"/>
        <v>7.4999999999999997E-2</v>
      </c>
    </row>
    <row r="69" spans="1:12" x14ac:dyDescent="0.35">
      <c r="B69" s="26"/>
      <c r="C69" s="26"/>
      <c r="D69" s="26"/>
      <c r="E69" s="26"/>
    </row>
    <row r="70" spans="1:12" x14ac:dyDescent="0.35">
      <c r="A70" s="86">
        <v>27</v>
      </c>
      <c r="B70" s="29" t="s">
        <v>92</v>
      </c>
      <c r="C70" s="26"/>
      <c r="D70" s="25">
        <f>SUM(D49:D69)</f>
        <v>-1299203.7697000476</v>
      </c>
      <c r="E70" s="25">
        <f>SUM(E57:E68)</f>
        <v>-17823174.983456247</v>
      </c>
      <c r="G70" s="86">
        <v>27</v>
      </c>
      <c r="H70" s="29" t="s">
        <v>92</v>
      </c>
      <c r="I70" s="26"/>
      <c r="J70" s="25">
        <f>SUM(J49:J69)</f>
        <v>-49720.473687754718</v>
      </c>
      <c r="K70" s="25">
        <f>SUM(K57:K68)</f>
        <v>-1802891.3881527344</v>
      </c>
    </row>
    <row r="71" spans="1:12" x14ac:dyDescent="0.35">
      <c r="A71" s="86"/>
      <c r="B71" s="29"/>
      <c r="C71" s="26"/>
      <c r="D71" s="25"/>
      <c r="E71" s="25"/>
      <c r="G71" s="86"/>
      <c r="H71" s="29"/>
      <c r="I71" s="26"/>
      <c r="J71" s="25"/>
      <c r="K71" s="25"/>
    </row>
    <row r="72" spans="1:12" x14ac:dyDescent="0.35">
      <c r="B72" s="43" t="s">
        <v>97</v>
      </c>
      <c r="H72" s="43" t="s">
        <v>96</v>
      </c>
    </row>
    <row r="73" spans="1:12" x14ac:dyDescent="0.35">
      <c r="A73" s="86">
        <v>28</v>
      </c>
      <c r="B73" s="65" t="s">
        <v>198</v>
      </c>
      <c r="C73" s="80">
        <f>C46</f>
        <v>-16125774</v>
      </c>
      <c r="G73" s="86">
        <v>28</v>
      </c>
      <c r="H73" s="65" t="s">
        <v>198</v>
      </c>
      <c r="I73" s="80">
        <f>I46</f>
        <v>384924</v>
      </c>
    </row>
    <row r="74" spans="1:12" x14ac:dyDescent="0.35">
      <c r="A74" s="86">
        <v>29</v>
      </c>
      <c r="B74" t="s">
        <v>93</v>
      </c>
      <c r="C74" s="80">
        <f>C47</f>
        <v>0</v>
      </c>
      <c r="G74" s="86">
        <v>29</v>
      </c>
      <c r="H74" t="s">
        <v>93</v>
      </c>
      <c r="I74" s="80">
        <f>I47</f>
        <v>0</v>
      </c>
    </row>
    <row r="75" spans="1:12" x14ac:dyDescent="0.35">
      <c r="A75" s="86">
        <v>30</v>
      </c>
      <c r="B75" t="s">
        <v>169</v>
      </c>
      <c r="C75" s="80">
        <f>C56</f>
        <v>-361978.81999999995</v>
      </c>
      <c r="G75" s="86">
        <v>30</v>
      </c>
      <c r="H75" t="s">
        <v>169</v>
      </c>
      <c r="I75" s="80">
        <f>I56</f>
        <v>-2145962.1799999997</v>
      </c>
    </row>
    <row r="76" spans="1:12" x14ac:dyDescent="0.35">
      <c r="A76" s="86">
        <v>31</v>
      </c>
      <c r="B76" t="s">
        <v>193</v>
      </c>
      <c r="C76" s="80">
        <f>D70</f>
        <v>-1299203.7697000476</v>
      </c>
      <c r="G76" s="86">
        <v>31</v>
      </c>
      <c r="H76" t="s">
        <v>193</v>
      </c>
      <c r="I76" s="80">
        <f>J70</f>
        <v>-49720.473687754718</v>
      </c>
    </row>
    <row r="77" spans="1:12" x14ac:dyDescent="0.35">
      <c r="A77" s="86">
        <v>32</v>
      </c>
      <c r="B77" t="s">
        <v>107</v>
      </c>
      <c r="C77" s="80">
        <f>(D30-D31)*E22-C68</f>
        <v>-859222.1447960278</v>
      </c>
      <c r="G77" s="86">
        <v>32</v>
      </c>
      <c r="H77" t="s">
        <v>107</v>
      </c>
      <c r="I77" s="80">
        <f>(J30-J31)*K22-I68</f>
        <v>-77984.705329396544</v>
      </c>
    </row>
    <row r="78" spans="1:12" x14ac:dyDescent="0.35">
      <c r="A78" s="86">
        <v>33</v>
      </c>
      <c r="B78" t="s">
        <v>173</v>
      </c>
      <c r="C78" s="81">
        <f>SUM(C73:C77)</f>
        <v>-18646178.734496076</v>
      </c>
      <c r="E78" s="80"/>
      <c r="G78" s="86">
        <v>33</v>
      </c>
      <c r="H78" t="s">
        <v>106</v>
      </c>
      <c r="I78" s="81">
        <f>SUM(I73:I77)</f>
        <v>-1888743.3590171509</v>
      </c>
    </row>
    <row r="79" spans="1:12" x14ac:dyDescent="0.35">
      <c r="A79" s="86">
        <v>34</v>
      </c>
      <c r="B79" t="s">
        <v>174</v>
      </c>
      <c r="C79" s="80">
        <f>D30*E22</f>
        <v>-18646178.734496076</v>
      </c>
      <c r="G79" s="86">
        <v>34</v>
      </c>
      <c r="H79" t="s">
        <v>94</v>
      </c>
      <c r="I79" s="80">
        <f>J30*K22</f>
        <v>-1888743.3590171502</v>
      </c>
    </row>
    <row r="80" spans="1:12" x14ac:dyDescent="0.35">
      <c r="A80" s="86">
        <v>35</v>
      </c>
      <c r="B80" t="s">
        <v>95</v>
      </c>
      <c r="C80" s="80">
        <f>C78-C79</f>
        <v>0</v>
      </c>
      <c r="G80" s="86">
        <v>35</v>
      </c>
      <c r="H80" t="s">
        <v>95</v>
      </c>
      <c r="I80" s="80">
        <f>I78-I79</f>
        <v>0</v>
      </c>
    </row>
  </sheetData>
  <customSheetViews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H24:I24"/>
    <mergeCell ref="B5:E5"/>
    <mergeCell ref="H5:K5"/>
    <mergeCell ref="H1:K1"/>
    <mergeCell ref="H2:K2"/>
    <mergeCell ref="H3:K3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B38:E38"/>
    <mergeCell ref="B39:E39"/>
    <mergeCell ref="B40:E40"/>
    <mergeCell ref="B1:E1"/>
    <mergeCell ref="B2:E2"/>
    <mergeCell ref="B3:E3"/>
    <mergeCell ref="B35:E35"/>
    <mergeCell ref="B36:E36"/>
    <mergeCell ref="B24:C24"/>
  </mergeCells>
  <hyperlinks>
    <hyperlink ref="B37" r:id="rId3" xr:uid="{00000000-0004-0000-0100-000000000000}"/>
    <hyperlink ref="H37" r:id="rId4" xr:uid="{00000000-0004-0000-0100-000001000000}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9</oddFooter>
  </headerFooter>
  <rowBreaks count="1" manualBreakCount="1">
    <brk id="41" max="11" man="1"/>
  </rowBreaks>
  <colBreaks count="1" manualBreakCount="1">
    <brk id="6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zoomScaleNormal="100" workbookViewId="0"/>
  </sheetViews>
  <sheetFormatPr defaultRowHeight="14.5" x14ac:dyDescent="0.35"/>
  <cols>
    <col min="1" max="1" width="4.1796875" customWidth="1"/>
    <col min="3" max="3" width="16.26953125" customWidth="1"/>
    <col min="4" max="4" width="11.26953125" customWidth="1"/>
    <col min="5" max="5" width="15" bestFit="1" customWidth="1"/>
    <col min="6" max="6" width="15.26953125" customWidth="1"/>
    <col min="7" max="7" width="8.26953125" customWidth="1"/>
    <col min="8" max="8" width="13.26953125" customWidth="1"/>
    <col min="9" max="9" width="0.7265625" customWidth="1"/>
    <col min="10" max="10" width="4.26953125" customWidth="1"/>
    <col min="11" max="12" width="11.54296875" bestFit="1" customWidth="1"/>
  </cols>
  <sheetData>
    <row r="1" spans="1:11" x14ac:dyDescent="0.35">
      <c r="B1" s="173" t="s">
        <v>0</v>
      </c>
      <c r="C1" s="173"/>
      <c r="D1" s="173"/>
      <c r="E1" s="173"/>
      <c r="F1" s="173"/>
      <c r="G1" s="173"/>
      <c r="H1" s="173"/>
    </row>
    <row r="2" spans="1:11" x14ac:dyDescent="0.35">
      <c r="B2" s="173" t="s">
        <v>112</v>
      </c>
      <c r="C2" s="173"/>
      <c r="D2" s="173"/>
      <c r="E2" s="173"/>
      <c r="F2" s="173"/>
      <c r="G2" s="173"/>
      <c r="H2" s="173"/>
    </row>
    <row r="3" spans="1:11" x14ac:dyDescent="0.35">
      <c r="B3" s="173" t="s">
        <v>194</v>
      </c>
      <c r="C3" s="173"/>
      <c r="D3" s="173"/>
      <c r="E3" s="173"/>
      <c r="F3" s="173"/>
      <c r="G3" s="173"/>
      <c r="H3" s="173"/>
      <c r="K3" s="65"/>
    </row>
    <row r="4" spans="1:11" x14ac:dyDescent="0.35">
      <c r="B4" s="181" t="s">
        <v>180</v>
      </c>
      <c r="C4" s="181"/>
      <c r="D4" s="181"/>
      <c r="E4" s="181"/>
      <c r="F4" s="181"/>
      <c r="G4" s="181"/>
      <c r="H4" s="181"/>
    </row>
    <row r="6" spans="1:11" x14ac:dyDescent="0.35">
      <c r="B6" s="173" t="s">
        <v>114</v>
      </c>
      <c r="C6" s="173"/>
      <c r="D6" s="173"/>
      <c r="E6" s="173"/>
      <c r="F6" s="173"/>
      <c r="G6" s="173"/>
      <c r="H6" s="173"/>
    </row>
    <row r="7" spans="1:11" ht="43.9" customHeight="1" x14ac:dyDescent="0.35">
      <c r="A7" s="91" t="s">
        <v>91</v>
      </c>
      <c r="B7" s="86" t="s">
        <v>2</v>
      </c>
      <c r="C7" s="85" t="s">
        <v>115</v>
      </c>
      <c r="D7" s="86" t="s">
        <v>3</v>
      </c>
      <c r="E7" s="86" t="s">
        <v>70</v>
      </c>
      <c r="F7" s="85" t="s">
        <v>113</v>
      </c>
      <c r="G7" s="85" t="s">
        <v>116</v>
      </c>
      <c r="H7" s="85" t="s">
        <v>167</v>
      </c>
    </row>
    <row r="9" spans="1:11" x14ac:dyDescent="0.35">
      <c r="A9" s="86">
        <v>1</v>
      </c>
      <c r="B9" s="92">
        <v>44774</v>
      </c>
      <c r="C9" s="144"/>
      <c r="D9" s="95"/>
      <c r="E9" s="144"/>
      <c r="F9" s="94"/>
      <c r="G9" s="135">
        <v>3.5999999999999997E-2</v>
      </c>
      <c r="I9" s="94"/>
    </row>
    <row r="10" spans="1:11" x14ac:dyDescent="0.35">
      <c r="A10" s="86">
        <v>2</v>
      </c>
      <c r="B10" s="92">
        <f>B9+31</f>
        <v>44805</v>
      </c>
      <c r="C10" s="93"/>
      <c r="D10" s="95"/>
      <c r="E10" s="144"/>
      <c r="F10" s="94"/>
      <c r="G10" s="36">
        <f>G9</f>
        <v>3.5999999999999997E-2</v>
      </c>
    </row>
    <row r="11" spans="1:11" x14ac:dyDescent="0.35">
      <c r="A11" s="86">
        <v>3</v>
      </c>
      <c r="B11" s="92">
        <f t="shared" ref="B11:B20" si="0">B10+31</f>
        <v>44836</v>
      </c>
      <c r="C11" s="144"/>
      <c r="D11" s="165"/>
      <c r="E11" s="144"/>
      <c r="F11" s="166"/>
      <c r="G11" s="135">
        <v>4.9099999999999998E-2</v>
      </c>
      <c r="K11" s="65"/>
    </row>
    <row r="12" spans="1:11" x14ac:dyDescent="0.35">
      <c r="A12" s="86">
        <v>4</v>
      </c>
      <c r="B12" s="92">
        <f t="shared" si="0"/>
        <v>44867</v>
      </c>
      <c r="C12" s="144">
        <v>-4974254.8899999997</v>
      </c>
      <c r="D12" s="95">
        <f t="shared" ref="D12:D17" si="1">ROUND(((C12+C12+E12)/2)*G12/12,2)</f>
        <v>-19162.14</v>
      </c>
      <c r="E12" s="144">
        <v>582086.27</v>
      </c>
      <c r="F12" s="94">
        <f t="shared" ref="F12:F16" si="2">C12+D12+E12</f>
        <v>-4411330.76</v>
      </c>
      <c r="G12" s="36">
        <f>G11</f>
        <v>4.9099999999999998E-2</v>
      </c>
    </row>
    <row r="13" spans="1:11" x14ac:dyDescent="0.35">
      <c r="A13" s="86">
        <v>5</v>
      </c>
      <c r="B13" s="92">
        <f t="shared" si="0"/>
        <v>44898</v>
      </c>
      <c r="C13" s="93">
        <f t="shared" ref="C13:C17" si="3">F12</f>
        <v>-4411330.76</v>
      </c>
      <c r="D13" s="95">
        <f t="shared" si="1"/>
        <v>-16553.66</v>
      </c>
      <c r="E13" s="144">
        <v>731260.72</v>
      </c>
      <c r="F13" s="94">
        <f t="shared" si="2"/>
        <v>-3696623.7</v>
      </c>
      <c r="G13" s="36">
        <f>G12</f>
        <v>4.9099999999999998E-2</v>
      </c>
    </row>
    <row r="14" spans="1:11" x14ac:dyDescent="0.35">
      <c r="A14" s="86">
        <v>6</v>
      </c>
      <c r="B14" s="92">
        <f t="shared" si="0"/>
        <v>44929</v>
      </c>
      <c r="C14" s="93">
        <f t="shared" si="3"/>
        <v>-3696623.7</v>
      </c>
      <c r="D14" s="95">
        <f t="shared" si="1"/>
        <v>-17811.54</v>
      </c>
      <c r="E14" s="144">
        <v>618653.56999999995</v>
      </c>
      <c r="F14" s="94">
        <f t="shared" si="2"/>
        <v>-3095781.6700000004</v>
      </c>
      <c r="G14" s="135">
        <v>6.3100000000000003E-2</v>
      </c>
    </row>
    <row r="15" spans="1:11" x14ac:dyDescent="0.35">
      <c r="A15" s="86">
        <v>7</v>
      </c>
      <c r="B15" s="92">
        <f t="shared" si="0"/>
        <v>44960</v>
      </c>
      <c r="C15" s="93">
        <f t="shared" si="3"/>
        <v>-3095781.6700000004</v>
      </c>
      <c r="D15" s="95">
        <f t="shared" si="1"/>
        <v>-14873.95</v>
      </c>
      <c r="E15" s="144">
        <v>534275.26</v>
      </c>
      <c r="F15" s="94">
        <f t="shared" si="2"/>
        <v>-2576380.3600000003</v>
      </c>
      <c r="G15" s="36">
        <f t="shared" ref="G15:G20" si="4">G14</f>
        <v>6.3100000000000003E-2</v>
      </c>
      <c r="H15" s="71"/>
    </row>
    <row r="16" spans="1:11" x14ac:dyDescent="0.35">
      <c r="A16" s="86">
        <v>8</v>
      </c>
      <c r="B16" s="92">
        <f t="shared" si="0"/>
        <v>44991</v>
      </c>
      <c r="C16" s="93">
        <f t="shared" si="3"/>
        <v>-2576380.3600000003</v>
      </c>
      <c r="D16" s="95">
        <f t="shared" si="1"/>
        <v>-12125.8</v>
      </c>
      <c r="E16" s="144">
        <v>540730.57999999996</v>
      </c>
      <c r="F16" s="94">
        <f t="shared" si="2"/>
        <v>-2047775.58</v>
      </c>
      <c r="G16" s="36">
        <f t="shared" si="4"/>
        <v>6.3100000000000003E-2</v>
      </c>
      <c r="H16" s="71"/>
    </row>
    <row r="17" spans="1:12" x14ac:dyDescent="0.35">
      <c r="A17" s="86">
        <v>9</v>
      </c>
      <c r="B17" s="92">
        <f t="shared" si="0"/>
        <v>45022</v>
      </c>
      <c r="C17" s="93">
        <f t="shared" si="3"/>
        <v>-2047775.58</v>
      </c>
      <c r="D17" s="95">
        <f t="shared" si="1"/>
        <v>-11446.44</v>
      </c>
      <c r="E17" s="144">
        <v>432690.66</v>
      </c>
      <c r="F17" s="94">
        <f>C17+D17+E17</f>
        <v>-1626531.36</v>
      </c>
      <c r="G17" s="164">
        <v>7.4999999999999997E-2</v>
      </c>
      <c r="H17" s="71"/>
      <c r="K17" s="65"/>
    </row>
    <row r="18" spans="1:12" x14ac:dyDescent="0.35">
      <c r="A18" s="99">
        <v>10</v>
      </c>
      <c r="B18" s="92">
        <f t="shared" si="0"/>
        <v>45053</v>
      </c>
      <c r="C18" s="93">
        <f>F17</f>
        <v>-1626531.36</v>
      </c>
      <c r="D18" s="95">
        <f t="shared" ref="D18:D20" si="5">ROUND(((C18+C18+E18)/2)*G18/12,2)</f>
        <v>-9040.64</v>
      </c>
      <c r="E18" s="144">
        <f>-ROUND(H18*('Earnings Test and 3% Test'!$D$45/'Conversion Factor'!$E$114),2)</f>
        <v>360058.24</v>
      </c>
      <c r="F18" s="94">
        <f t="shared" ref="F18:F20" si="6">C18+D18+E18</f>
        <v>-1275513.76</v>
      </c>
      <c r="G18" s="36">
        <f t="shared" si="4"/>
        <v>7.4999999999999997E-2</v>
      </c>
      <c r="H18" s="71">
        <f>'4 13 22 Forecast Usage by Sched'!Q6</f>
        <v>160941417.98121455</v>
      </c>
      <c r="K18" s="138"/>
      <c r="L18" s="138"/>
    </row>
    <row r="19" spans="1:12" ht="15" thickBot="1" x14ac:dyDescent="0.4">
      <c r="A19" s="99">
        <v>11</v>
      </c>
      <c r="B19" s="92">
        <f t="shared" si="0"/>
        <v>45084</v>
      </c>
      <c r="C19" s="93">
        <f t="shared" ref="C19:C20" si="7">F18</f>
        <v>-1275513.76</v>
      </c>
      <c r="D19" s="95">
        <f t="shared" si="5"/>
        <v>-6590.17</v>
      </c>
      <c r="E19" s="144">
        <f>-ROUND(H19*('Earnings Test and 3% Test'!$D$45/'Conversion Factor'!$E$114),2)</f>
        <v>442171.64</v>
      </c>
      <c r="F19" s="94">
        <f t="shared" si="6"/>
        <v>-839932.28999999992</v>
      </c>
      <c r="G19" s="36">
        <f t="shared" si="4"/>
        <v>7.4999999999999997E-2</v>
      </c>
      <c r="H19" s="71">
        <f>'4 13 22 Forecast Usage by Sched'!Q7</f>
        <v>197645054.71802956</v>
      </c>
      <c r="K19" s="137"/>
      <c r="L19" s="94"/>
    </row>
    <row r="20" spans="1:12" ht="15" thickBot="1" x14ac:dyDescent="0.4">
      <c r="A20" s="99">
        <v>12</v>
      </c>
      <c r="B20" s="92">
        <f t="shared" si="0"/>
        <v>45115</v>
      </c>
      <c r="C20" s="93">
        <f t="shared" si="7"/>
        <v>-839932.28999999992</v>
      </c>
      <c r="D20" s="95">
        <f t="shared" si="5"/>
        <v>-3744.27</v>
      </c>
      <c r="E20" s="144">
        <f>-ROUND(H20*('Earnings Test and 3% Test'!$D$45/'Conversion Factor'!$E$114),2)</f>
        <v>481697.74</v>
      </c>
      <c r="F20" s="134">
        <f t="shared" si="6"/>
        <v>-361978.81999999995</v>
      </c>
      <c r="G20" s="36">
        <f t="shared" si="4"/>
        <v>7.4999999999999997E-2</v>
      </c>
      <c r="H20" s="71">
        <f>'4 13 22 Forecast Usage by Sched'!Q8</f>
        <v>215312715.71338922</v>
      </c>
      <c r="K20" s="137"/>
      <c r="L20" s="94"/>
    </row>
    <row r="23" spans="1:12" x14ac:dyDescent="0.35">
      <c r="B23" s="173" t="s">
        <v>163</v>
      </c>
      <c r="C23" s="173"/>
      <c r="D23" s="173"/>
      <c r="E23" s="173"/>
      <c r="F23" s="173"/>
      <c r="G23" s="173"/>
      <c r="H23" s="173"/>
    </row>
    <row r="24" spans="1:12" ht="43.5" x14ac:dyDescent="0.35">
      <c r="A24" s="91" t="s">
        <v>91</v>
      </c>
      <c r="B24" s="86" t="s">
        <v>2</v>
      </c>
      <c r="C24" s="85" t="s">
        <v>115</v>
      </c>
      <c r="D24" s="86" t="s">
        <v>3</v>
      </c>
      <c r="E24" s="86" t="s">
        <v>70</v>
      </c>
      <c r="F24" s="85" t="s">
        <v>113</v>
      </c>
      <c r="G24" s="85" t="s">
        <v>116</v>
      </c>
      <c r="H24" s="133" t="s">
        <v>167</v>
      </c>
    </row>
    <row r="26" spans="1:12" x14ac:dyDescent="0.35">
      <c r="A26" s="86">
        <v>13</v>
      </c>
      <c r="B26" s="92">
        <f t="shared" ref="B26:B37" si="8">B9</f>
        <v>44774</v>
      </c>
      <c r="C26" s="144"/>
      <c r="D26" s="95"/>
      <c r="E26" s="144"/>
      <c r="F26" s="94"/>
      <c r="G26" s="131">
        <f t="shared" ref="G26:G37" si="9">G9</f>
        <v>3.5999999999999997E-2</v>
      </c>
    </row>
    <row r="27" spans="1:12" x14ac:dyDescent="0.35">
      <c r="A27" s="86">
        <v>14</v>
      </c>
      <c r="B27" s="92">
        <f t="shared" si="8"/>
        <v>44805</v>
      </c>
      <c r="C27" s="93"/>
      <c r="D27" s="95"/>
      <c r="E27" s="144"/>
      <c r="F27" s="94"/>
      <c r="G27" s="131">
        <f t="shared" si="9"/>
        <v>3.5999999999999997E-2</v>
      </c>
    </row>
    <row r="28" spans="1:12" x14ac:dyDescent="0.35">
      <c r="A28" s="86">
        <v>15</v>
      </c>
      <c r="B28" s="92">
        <f t="shared" si="8"/>
        <v>44836</v>
      </c>
      <c r="C28" s="144"/>
      <c r="D28" s="165"/>
      <c r="E28" s="144"/>
      <c r="F28" s="166"/>
      <c r="G28" s="131">
        <f t="shared" si="9"/>
        <v>4.9099999999999998E-2</v>
      </c>
      <c r="K28" s="65"/>
    </row>
    <row r="29" spans="1:12" x14ac:dyDescent="0.35">
      <c r="A29" s="86">
        <v>16</v>
      </c>
      <c r="B29" s="92">
        <f t="shared" si="8"/>
        <v>44867</v>
      </c>
      <c r="C29" s="93">
        <v>-42904.5</v>
      </c>
      <c r="D29" s="95">
        <f t="shared" ref="D29:D32" si="10">ROUND(((C29+C29+E29)/2)*G29/12,2)</f>
        <v>-670.95</v>
      </c>
      <c r="E29" s="144">
        <v>-242148.54</v>
      </c>
      <c r="F29" s="94">
        <f>C29+D29+E29</f>
        <v>-285723.99</v>
      </c>
      <c r="G29" s="131">
        <f t="shared" si="9"/>
        <v>4.9099999999999998E-2</v>
      </c>
    </row>
    <row r="30" spans="1:12" x14ac:dyDescent="0.35">
      <c r="A30" s="90">
        <v>17</v>
      </c>
      <c r="B30" s="92">
        <f t="shared" si="8"/>
        <v>44898</v>
      </c>
      <c r="C30" s="93">
        <f t="shared" ref="C30:C34" si="11">F29</f>
        <v>-285723.99</v>
      </c>
      <c r="D30" s="95">
        <f t="shared" si="10"/>
        <v>-1660.13</v>
      </c>
      <c r="E30" s="144">
        <v>-240020.55</v>
      </c>
      <c r="F30" s="94">
        <f>C30+D30+E30</f>
        <v>-527404.66999999993</v>
      </c>
      <c r="G30" s="131">
        <f t="shared" si="9"/>
        <v>4.9099999999999998E-2</v>
      </c>
    </row>
    <row r="31" spans="1:12" x14ac:dyDescent="0.35">
      <c r="A31" s="90">
        <v>18</v>
      </c>
      <c r="B31" s="92">
        <f t="shared" si="8"/>
        <v>44929</v>
      </c>
      <c r="C31" s="93">
        <f t="shared" si="11"/>
        <v>-527404.66999999993</v>
      </c>
      <c r="D31" s="95">
        <f t="shared" si="10"/>
        <v>-3298.82</v>
      </c>
      <c r="E31" s="144">
        <v>-199891.66</v>
      </c>
      <c r="F31" s="94">
        <f t="shared" ref="F31:F34" si="12">C31+D31+E31</f>
        <v>-730595.14999999991</v>
      </c>
      <c r="G31" s="131">
        <f t="shared" si="9"/>
        <v>6.3100000000000003E-2</v>
      </c>
    </row>
    <row r="32" spans="1:12" x14ac:dyDescent="0.35">
      <c r="A32" s="90">
        <v>19</v>
      </c>
      <c r="B32" s="92">
        <f t="shared" si="8"/>
        <v>44960</v>
      </c>
      <c r="C32" s="93">
        <f t="shared" si="11"/>
        <v>-730595.14999999991</v>
      </c>
      <c r="D32" s="95">
        <f t="shared" si="10"/>
        <v>-4374.24</v>
      </c>
      <c r="E32" s="144">
        <v>-202545.91</v>
      </c>
      <c r="F32" s="94">
        <f t="shared" si="12"/>
        <v>-937515.29999999993</v>
      </c>
      <c r="G32" s="131">
        <f t="shared" si="9"/>
        <v>6.3100000000000003E-2</v>
      </c>
      <c r="H32" s="71"/>
    </row>
    <row r="33" spans="1:12" x14ac:dyDescent="0.35">
      <c r="A33" s="90">
        <v>20</v>
      </c>
      <c r="B33" s="92">
        <f t="shared" si="8"/>
        <v>44991</v>
      </c>
      <c r="C33" s="93">
        <f t="shared" si="11"/>
        <v>-937515.29999999993</v>
      </c>
      <c r="D33" s="95">
        <f>ROUND(((C33+C33+E33)/2)*G33/12,2)</f>
        <v>-5547.7</v>
      </c>
      <c r="E33" s="144">
        <v>-235029.58</v>
      </c>
      <c r="F33" s="94">
        <f t="shared" si="12"/>
        <v>-1178092.5799999998</v>
      </c>
      <c r="G33" s="131">
        <f t="shared" si="9"/>
        <v>6.3100000000000003E-2</v>
      </c>
      <c r="H33" s="71"/>
    </row>
    <row r="34" spans="1:12" x14ac:dyDescent="0.35">
      <c r="A34" s="90">
        <v>21</v>
      </c>
      <c r="B34" s="92">
        <f t="shared" si="8"/>
        <v>45022</v>
      </c>
      <c r="C34" s="93">
        <f t="shared" si="11"/>
        <v>-1178092.5799999998</v>
      </c>
      <c r="D34" s="95">
        <f>ROUND(((C34+C34+E34)/2)*G34/12,2)</f>
        <v>-7955.89</v>
      </c>
      <c r="E34" s="144">
        <v>-189699.34</v>
      </c>
      <c r="F34" s="94">
        <f t="shared" si="12"/>
        <v>-1375747.8099999998</v>
      </c>
      <c r="G34" s="131">
        <f t="shared" si="9"/>
        <v>7.4999999999999997E-2</v>
      </c>
      <c r="H34" s="71"/>
      <c r="K34" s="65"/>
      <c r="L34" s="94"/>
    </row>
    <row r="35" spans="1:12" x14ac:dyDescent="0.35">
      <c r="A35" s="99">
        <v>22</v>
      </c>
      <c r="B35" s="92">
        <f t="shared" si="8"/>
        <v>45053</v>
      </c>
      <c r="C35" s="93">
        <f>F34</f>
        <v>-1375747.8099999998</v>
      </c>
      <c r="D35" s="95">
        <f>ROUND(((C35+C35+E35)/2)*G35/12,2)</f>
        <v>-9312.9699999999993</v>
      </c>
      <c r="E35" s="144">
        <f>-ROUND(H35*('Earnings Test and 3% Test'!$E$45/'Conversion Factor'!$E$114),2)</f>
        <v>-228653.24</v>
      </c>
      <c r="F35" s="94">
        <f t="shared" ref="F35:F37" si="13">C35+D35+E35</f>
        <v>-1613714.0199999998</v>
      </c>
      <c r="G35" s="131">
        <f t="shared" si="9"/>
        <v>7.4999999999999997E-2</v>
      </c>
      <c r="H35" s="71">
        <f>'4 13 22 Forecast Usage by Sched'!R6</f>
        <v>181181710.50818121</v>
      </c>
      <c r="K35" s="137"/>
      <c r="L35" s="94"/>
    </row>
    <row r="36" spans="1:12" ht="15" thickBot="1" x14ac:dyDescent="0.4">
      <c r="A36" s="99">
        <v>23</v>
      </c>
      <c r="B36" s="92">
        <f t="shared" si="8"/>
        <v>45084</v>
      </c>
      <c r="C36" s="93">
        <f>F35</f>
        <v>-1613714.0199999998</v>
      </c>
      <c r="D36" s="95">
        <f t="shared" ref="D36:D37" si="14">ROUND(((C36+C36+E36)/2)*G36/12,2)</f>
        <v>-10892.51</v>
      </c>
      <c r="E36" s="144">
        <f>-ROUND(H36*('Earnings Test and 3% Test'!$E$45/'Conversion Factor'!$E$114),2)</f>
        <v>-258175.93</v>
      </c>
      <c r="F36" s="94">
        <f t="shared" si="13"/>
        <v>-1882782.4599999997</v>
      </c>
      <c r="G36" s="131">
        <f t="shared" si="9"/>
        <v>7.4999999999999997E-2</v>
      </c>
      <c r="H36" s="71">
        <f>'4 13 22 Forecast Usage by Sched'!R7</f>
        <v>204575084.52235386</v>
      </c>
      <c r="K36" s="137"/>
      <c r="L36" s="94"/>
    </row>
    <row r="37" spans="1:12" ht="15" thickBot="1" x14ac:dyDescent="0.4">
      <c r="A37" s="99">
        <v>24</v>
      </c>
      <c r="B37" s="92">
        <f t="shared" si="8"/>
        <v>45115</v>
      </c>
      <c r="C37" s="93">
        <f>F36</f>
        <v>-1882782.4599999997</v>
      </c>
      <c r="D37" s="95">
        <f t="shared" si="14"/>
        <v>-12550.61</v>
      </c>
      <c r="E37" s="144">
        <f>-ROUND(H37*('Earnings Test and 3% Test'!$E$45/'Conversion Factor'!$E$114),2)</f>
        <v>-250629.11</v>
      </c>
      <c r="F37" s="134">
        <f t="shared" si="13"/>
        <v>-2145962.1799999997</v>
      </c>
      <c r="G37" s="131">
        <f t="shared" si="9"/>
        <v>7.4999999999999997E-2</v>
      </c>
      <c r="H37" s="71">
        <f>'4 13 22 Forecast Usage by Sched'!R8</f>
        <v>198595088.43944353</v>
      </c>
      <c r="K37" s="137"/>
      <c r="L37" s="94"/>
    </row>
  </sheetData>
  <mergeCells count="6">
    <mergeCell ref="B1:H1"/>
    <mergeCell ref="B2:H2"/>
    <mergeCell ref="B3:H3"/>
    <mergeCell ref="B6:H6"/>
    <mergeCell ref="B23:H23"/>
    <mergeCell ref="B4:H4"/>
  </mergeCells>
  <printOptions horizontalCentered="1"/>
  <pageMargins left="0.7" right="0.7" top="0.55000000000000004" bottom="0.48" header="0.3" footer="0.3"/>
  <pageSetup scale="88" firstPageNumber="5" orientation="portrait" useFirstPageNumber="1" r:id="rId1"/>
  <headerFooter scaleWithDoc="0">
    <oddFooter>&amp;CATTACHMENT A&amp;RPage &amp;P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5"/>
  <sheetViews>
    <sheetView topLeftCell="A25" zoomScaleNormal="100" workbookViewId="0">
      <selection activeCell="D49" sqref="D49"/>
    </sheetView>
  </sheetViews>
  <sheetFormatPr defaultRowHeight="14.5" x14ac:dyDescent="0.35"/>
  <cols>
    <col min="1" max="1" width="7.453125" style="74" customWidth="1"/>
    <col min="2" max="2" width="35.7265625" customWidth="1"/>
    <col min="3" max="3" width="13" customWidth="1"/>
    <col min="4" max="4" width="15.26953125" customWidth="1"/>
    <col min="5" max="5" width="15" customWidth="1"/>
    <col min="6" max="6" width="4.7265625" customWidth="1"/>
    <col min="7" max="7" width="15.453125" hidden="1" customWidth="1"/>
    <col min="8" max="8" width="9.7265625" hidden="1" customWidth="1"/>
    <col min="9" max="9" width="10.1796875" customWidth="1"/>
    <col min="10" max="10" width="20.453125" customWidth="1"/>
    <col min="11" max="11" width="17.1796875" customWidth="1"/>
    <col min="12" max="12" width="16.26953125" customWidth="1"/>
    <col min="13" max="13" width="14" customWidth="1"/>
    <col min="14" max="14" width="15" customWidth="1"/>
    <col min="15" max="15" width="4.54296875" customWidth="1"/>
    <col min="16" max="16" width="25.26953125" customWidth="1"/>
    <col min="17" max="17" width="16.7265625" customWidth="1"/>
    <col min="18" max="18" width="17" customWidth="1"/>
    <col min="19" max="19" width="12.453125" customWidth="1"/>
    <col min="20" max="20" width="13.54296875" customWidth="1"/>
  </cols>
  <sheetData>
    <row r="1" spans="1:12" x14ac:dyDescent="0.35">
      <c r="B1" s="173" t="s">
        <v>0</v>
      </c>
      <c r="C1" s="173"/>
      <c r="D1" s="173"/>
      <c r="E1" s="173"/>
      <c r="F1" s="173"/>
      <c r="G1" s="173"/>
      <c r="H1" s="173"/>
    </row>
    <row r="2" spans="1:12" x14ac:dyDescent="0.35">
      <c r="B2" s="173" t="s">
        <v>40</v>
      </c>
      <c r="C2" s="173"/>
      <c r="D2" s="173"/>
      <c r="E2" s="173"/>
      <c r="F2" s="173"/>
      <c r="G2" s="173"/>
      <c r="H2" s="173"/>
    </row>
    <row r="3" spans="1:12" x14ac:dyDescent="0.35">
      <c r="B3" s="173" t="s">
        <v>192</v>
      </c>
      <c r="C3" s="173"/>
      <c r="D3" s="173"/>
      <c r="E3" s="173"/>
      <c r="F3" s="173"/>
      <c r="G3" s="173"/>
      <c r="H3" s="173"/>
    </row>
    <row r="5" spans="1:12" x14ac:dyDescent="0.35">
      <c r="B5" s="158" t="s">
        <v>196</v>
      </c>
      <c r="C5" s="77"/>
      <c r="D5" s="77"/>
      <c r="E5" s="77"/>
      <c r="F5" s="77"/>
    </row>
    <row r="7" spans="1:12" x14ac:dyDescent="0.35">
      <c r="A7" s="74" t="s">
        <v>91</v>
      </c>
      <c r="D7" s="30" t="s">
        <v>41</v>
      </c>
      <c r="E7" s="30"/>
      <c r="F7" s="74"/>
      <c r="G7" s="30" t="s">
        <v>42</v>
      </c>
      <c r="H7" s="42"/>
    </row>
    <row r="9" spans="1:12" x14ac:dyDescent="0.35">
      <c r="A9" s="74">
        <v>1</v>
      </c>
      <c r="B9" t="s">
        <v>43</v>
      </c>
      <c r="D9" s="145">
        <v>2019378000</v>
      </c>
      <c r="G9" s="37">
        <v>272971000</v>
      </c>
      <c r="H9" s="37"/>
    </row>
    <row r="10" spans="1:12" x14ac:dyDescent="0.35">
      <c r="D10" s="65"/>
    </row>
    <row r="11" spans="1:12" x14ac:dyDescent="0.35">
      <c r="A11" s="74">
        <v>2</v>
      </c>
      <c r="B11" t="s">
        <v>44</v>
      </c>
      <c r="D11" s="145">
        <v>123620000</v>
      </c>
      <c r="G11" s="37">
        <v>16783000</v>
      </c>
      <c r="H11" s="37"/>
    </row>
    <row r="12" spans="1:12" x14ac:dyDescent="0.35">
      <c r="D12" s="161"/>
    </row>
    <row r="13" spans="1:12" x14ac:dyDescent="0.35">
      <c r="A13" s="74">
        <v>3</v>
      </c>
      <c r="B13" t="s">
        <v>45</v>
      </c>
      <c r="D13" s="162">
        <f>D11/D9</f>
        <v>6.1216869749001923E-2</v>
      </c>
      <c r="G13" s="35">
        <f>G11/G9</f>
        <v>6.1482721607789836E-2</v>
      </c>
      <c r="H13" s="35"/>
    </row>
    <row r="14" spans="1:12" x14ac:dyDescent="0.35">
      <c r="A14" s="74">
        <v>4</v>
      </c>
      <c r="B14" t="s">
        <v>46</v>
      </c>
      <c r="D14" s="159">
        <v>7.0300000000000001E-2</v>
      </c>
      <c r="G14" s="35">
        <v>7.3200000000000001E-2</v>
      </c>
      <c r="H14" s="35"/>
      <c r="K14" s="35"/>
      <c r="L14" s="35"/>
    </row>
    <row r="15" spans="1:12" x14ac:dyDescent="0.35">
      <c r="A15" s="74">
        <v>5</v>
      </c>
      <c r="B15" t="s">
        <v>47</v>
      </c>
      <c r="D15" s="36">
        <f>D13-D14</f>
        <v>-9.0831302509980782E-3</v>
      </c>
      <c r="G15" s="36">
        <f>G13-G14</f>
        <v>-1.1717278392210165E-2</v>
      </c>
      <c r="H15" s="36"/>
    </row>
    <row r="17" spans="1:9" x14ac:dyDescent="0.35">
      <c r="A17" s="74">
        <v>6</v>
      </c>
      <c r="B17" t="s">
        <v>48</v>
      </c>
      <c r="D17" s="37">
        <f>IF(D15&gt;0,D9*D15,0)</f>
        <v>0</v>
      </c>
      <c r="G17" s="37">
        <f>IF(G15&gt;0,G9*G15,0)</f>
        <v>0</v>
      </c>
      <c r="H17" s="37"/>
    </row>
    <row r="18" spans="1:9" x14ac:dyDescent="0.35">
      <c r="A18" s="74">
        <v>7</v>
      </c>
      <c r="B18" t="s">
        <v>49</v>
      </c>
      <c r="D18" s="38">
        <f>'Conversion Factor'!E112</f>
        <v>0.75529500000000005</v>
      </c>
      <c r="G18" s="38">
        <v>0.61944999999999995</v>
      </c>
      <c r="H18" s="38"/>
    </row>
    <row r="19" spans="1:9" x14ac:dyDescent="0.35">
      <c r="A19" s="74">
        <v>8</v>
      </c>
      <c r="B19" t="s">
        <v>50</v>
      </c>
      <c r="D19" s="37">
        <f>D17/D18</f>
        <v>0</v>
      </c>
      <c r="G19" s="37">
        <f>G17/G18</f>
        <v>0</v>
      </c>
      <c r="H19" s="37"/>
      <c r="I19" s="37"/>
    </row>
    <row r="20" spans="1:9" ht="15" thickBot="1" x14ac:dyDescent="0.4">
      <c r="A20" s="74">
        <v>9</v>
      </c>
      <c r="B20" t="s">
        <v>51</v>
      </c>
      <c r="D20" s="39">
        <v>0.5</v>
      </c>
      <c r="G20" s="39">
        <v>0.5</v>
      </c>
      <c r="H20" s="39"/>
    </row>
    <row r="21" spans="1:9" ht="15.5" thickTop="1" thickBot="1" x14ac:dyDescent="0.4">
      <c r="A21" s="74">
        <v>10</v>
      </c>
      <c r="B21" s="65" t="s">
        <v>181</v>
      </c>
      <c r="D21" s="40">
        <f>D19*D20</f>
        <v>0</v>
      </c>
      <c r="G21" s="40">
        <v>0</v>
      </c>
      <c r="H21" s="48"/>
    </row>
    <row r="22" spans="1:9" ht="15" thickTop="1" x14ac:dyDescent="0.35"/>
    <row r="24" spans="1:9" x14ac:dyDescent="0.35">
      <c r="B24" s="158" t="s">
        <v>182</v>
      </c>
      <c r="C24" s="77"/>
      <c r="D24" s="77"/>
      <c r="E24" s="77"/>
      <c r="F24" s="77"/>
      <c r="G24" s="77"/>
      <c r="H24" s="77"/>
    </row>
    <row r="26" spans="1:9" x14ac:dyDescent="0.35">
      <c r="A26" s="74">
        <v>11</v>
      </c>
      <c r="B26" t="s">
        <v>52</v>
      </c>
      <c r="D26" s="146">
        <f>'Bill Impact'!L11</f>
        <v>268876059.59909856</v>
      </c>
      <c r="E26" s="35">
        <f>D26/D30</f>
        <v>0.53853919300880881</v>
      </c>
      <c r="F26" s="35"/>
      <c r="G26" s="64">
        <v>116284996</v>
      </c>
      <c r="H26" s="35">
        <f>G26/G30</f>
        <v>0.75882679845758572</v>
      </c>
    </row>
    <row r="27" spans="1:9" x14ac:dyDescent="0.35">
      <c r="D27" s="65"/>
      <c r="G27" s="65"/>
      <c r="I27" s="35"/>
    </row>
    <row r="28" spans="1:9" x14ac:dyDescent="0.35">
      <c r="A28" s="74">
        <v>12</v>
      </c>
      <c r="B28" t="s">
        <v>53</v>
      </c>
      <c r="D28" s="146">
        <f>'Bill Impact'!L13+'Bill Impact'!L15+'Bill Impact'!L17</f>
        <v>230393191.53356802</v>
      </c>
      <c r="E28" s="35">
        <f>D28/D30</f>
        <v>0.46146080699119119</v>
      </c>
      <c r="F28" s="35"/>
      <c r="G28" s="64">
        <f>33950044+3372711-364618</f>
        <v>36958137</v>
      </c>
      <c r="H28" s="35">
        <f>G28/G30</f>
        <v>0.24117320154241431</v>
      </c>
    </row>
    <row r="29" spans="1:9" x14ac:dyDescent="0.35">
      <c r="D29" s="65"/>
      <c r="I29" s="35"/>
    </row>
    <row r="30" spans="1:9" x14ac:dyDescent="0.35">
      <c r="A30" s="74">
        <v>13</v>
      </c>
      <c r="B30" t="s">
        <v>54</v>
      </c>
      <c r="D30" s="142">
        <f>D26+D28</f>
        <v>499269251.13266659</v>
      </c>
      <c r="E30" s="36">
        <f>E26+E28</f>
        <v>1</v>
      </c>
      <c r="F30" s="36"/>
      <c r="G30" s="37">
        <f>G26+G28</f>
        <v>153243133</v>
      </c>
      <c r="H30" s="36">
        <f>H26+H28</f>
        <v>1</v>
      </c>
    </row>
    <row r="31" spans="1:9" x14ac:dyDescent="0.35">
      <c r="I31" s="36"/>
    </row>
    <row r="32" spans="1:9" x14ac:dyDescent="0.35">
      <c r="A32" s="83"/>
      <c r="D32" s="183" t="s">
        <v>109</v>
      </c>
      <c r="E32" s="183" t="s">
        <v>108</v>
      </c>
      <c r="I32" s="36"/>
    </row>
    <row r="33" spans="1:10" x14ac:dyDescent="0.35">
      <c r="B33" s="43" t="s">
        <v>55</v>
      </c>
      <c r="D33" s="183"/>
      <c r="E33" s="183"/>
    </row>
    <row r="34" spans="1:10" x14ac:dyDescent="0.35">
      <c r="A34" s="74">
        <v>14</v>
      </c>
      <c r="B34" t="s">
        <v>57</v>
      </c>
      <c r="D34" s="37">
        <f>D21*E26</f>
        <v>0</v>
      </c>
      <c r="E34" s="37">
        <f>ROUND(D34*'Conversion Factor'!E108,0)</f>
        <v>0</v>
      </c>
      <c r="G34" s="37">
        <f>G21*H26</f>
        <v>0</v>
      </c>
    </row>
    <row r="35" spans="1:10" x14ac:dyDescent="0.35">
      <c r="A35" s="74">
        <v>15</v>
      </c>
      <c r="B35" t="s">
        <v>77</v>
      </c>
      <c r="D35" s="37">
        <f>D21*E28</f>
        <v>0</v>
      </c>
      <c r="E35" s="37">
        <f>ROUND(D35*'Conversion Factor'!E108,0)</f>
        <v>0</v>
      </c>
      <c r="G35" s="37">
        <f>G21*H28</f>
        <v>0</v>
      </c>
    </row>
    <row r="36" spans="1:10" x14ac:dyDescent="0.35">
      <c r="A36" s="74">
        <v>16</v>
      </c>
      <c r="B36" t="s">
        <v>56</v>
      </c>
      <c r="D36" s="41">
        <f>SUM(D34:D35)</f>
        <v>0</v>
      </c>
      <c r="E36" s="41">
        <f>SUM(E34:E35)</f>
        <v>0</v>
      </c>
      <c r="G36" s="41">
        <f>SUM(G34:G35)</f>
        <v>0</v>
      </c>
    </row>
    <row r="38" spans="1:10" ht="32.5" customHeight="1" x14ac:dyDescent="0.35">
      <c r="A38" s="74" t="s">
        <v>91</v>
      </c>
      <c r="B38" s="78" t="s">
        <v>61</v>
      </c>
      <c r="D38" s="84" t="s">
        <v>110</v>
      </c>
      <c r="E38" s="84" t="s">
        <v>111</v>
      </c>
      <c r="F38" s="84"/>
      <c r="J38" s="98"/>
    </row>
    <row r="39" spans="1:10" ht="32.5" customHeight="1" x14ac:dyDescent="0.35">
      <c r="A39" s="89">
        <v>1</v>
      </c>
      <c r="B39" s="184" t="s">
        <v>183</v>
      </c>
      <c r="C39" s="184"/>
      <c r="D39" s="88">
        <f>D26</f>
        <v>268876059.59909856</v>
      </c>
      <c r="E39" s="88">
        <f>D28</f>
        <v>230393191.53356802</v>
      </c>
      <c r="F39" s="88"/>
      <c r="J39" s="88"/>
    </row>
    <row r="40" spans="1:10" x14ac:dyDescent="0.35">
      <c r="B40" s="65"/>
      <c r="C40" s="65"/>
    </row>
    <row r="41" spans="1:10" x14ac:dyDescent="0.35">
      <c r="A41" s="84">
        <v>2</v>
      </c>
      <c r="B41" s="65" t="s">
        <v>184</v>
      </c>
      <c r="C41" s="65"/>
      <c r="D41" s="71">
        <f>'Electric 2023 Rate Calc'!E22</f>
        <v>2571886721.9994588</v>
      </c>
      <c r="E41" s="71">
        <f>'Electric 2023 Rate Calc'!K22</f>
        <v>2146299271.6103981</v>
      </c>
      <c r="F41" s="87"/>
      <c r="G41" s="71" t="e">
        <f>#REF!</f>
        <v>#REF!</v>
      </c>
      <c r="J41" s="94"/>
    </row>
    <row r="42" spans="1:10" ht="13.9" customHeight="1" x14ac:dyDescent="0.35">
      <c r="J42" s="94"/>
    </row>
    <row r="43" spans="1:10" x14ac:dyDescent="0.35">
      <c r="A43" s="84">
        <v>3</v>
      </c>
      <c r="B43" t="s">
        <v>58</v>
      </c>
      <c r="D43" s="46">
        <f>'Electric 2023 Rate Calc'!D28</f>
        <v>-7.2500000000000004E-3</v>
      </c>
      <c r="E43" s="46">
        <f>'Electric 2023 Rate Calc'!J28</f>
        <v>-8.8000000000000003E-4</v>
      </c>
    </row>
    <row r="44" spans="1:10" ht="11.5" customHeight="1" x14ac:dyDescent="0.35"/>
    <row r="45" spans="1:10" ht="14.5" customHeight="1" x14ac:dyDescent="0.35">
      <c r="A45" s="74">
        <v>4</v>
      </c>
      <c r="B45" t="s">
        <v>170</v>
      </c>
      <c r="D45" s="147">
        <v>-2.3400000000000001E-3</v>
      </c>
      <c r="E45" s="147">
        <v>1.32E-3</v>
      </c>
    </row>
    <row r="46" spans="1:10" ht="14.5" customHeight="1" x14ac:dyDescent="0.35"/>
    <row r="47" spans="1:10" ht="14.5" customHeight="1" x14ac:dyDescent="0.35">
      <c r="A47" s="84">
        <v>5</v>
      </c>
      <c r="B47" t="s">
        <v>59</v>
      </c>
      <c r="D47" s="46">
        <f>D43-D45</f>
        <v>-4.9100000000000003E-3</v>
      </c>
      <c r="E47" s="46">
        <f>E43-E45</f>
        <v>-2.2000000000000001E-3</v>
      </c>
    </row>
    <row r="48" spans="1:10" ht="15" customHeight="1" x14ac:dyDescent="0.35"/>
    <row r="49" spans="1:10" ht="15" customHeight="1" x14ac:dyDescent="0.35">
      <c r="A49" s="74">
        <v>6</v>
      </c>
      <c r="B49" t="s">
        <v>60</v>
      </c>
      <c r="D49" s="44">
        <f>D47*D41</f>
        <v>-12627963.805017343</v>
      </c>
      <c r="E49" s="44">
        <f>E47*E41</f>
        <v>-4721858.3975428762</v>
      </c>
      <c r="F49" s="44"/>
      <c r="G49" s="44" t="e">
        <f>#REF!+#REF!</f>
        <v>#REF!</v>
      </c>
    </row>
    <row r="50" spans="1:10" ht="12.65" customHeight="1" x14ac:dyDescent="0.35">
      <c r="D50" s="44"/>
      <c r="G50" s="44"/>
    </row>
    <row r="51" spans="1:10" ht="12.65" customHeight="1" x14ac:dyDescent="0.35">
      <c r="A51" s="74">
        <v>7</v>
      </c>
      <c r="B51" t="s">
        <v>62</v>
      </c>
      <c r="D51" s="47">
        <f>D49/D39</f>
        <v>-4.6965742594732962E-2</v>
      </c>
      <c r="E51" s="47">
        <f>E49/E39</f>
        <v>-2.049478270652328E-2</v>
      </c>
      <c r="F51" s="47"/>
      <c r="G51" s="47"/>
    </row>
    <row r="52" spans="1:10" ht="13.15" customHeight="1" x14ac:dyDescent="0.35"/>
    <row r="53" spans="1:10" ht="13.15" customHeight="1" x14ac:dyDescent="0.35">
      <c r="A53" s="74">
        <v>8</v>
      </c>
      <c r="B53" t="s">
        <v>179</v>
      </c>
      <c r="D53" s="37">
        <f>IF(D51&gt;0.03,D39*0.03-D49,0)</f>
        <v>0</v>
      </c>
      <c r="E53" s="37">
        <f>IF(E51&gt;0.03,E39*0.03-E49,0)</f>
        <v>0</v>
      </c>
      <c r="G53" s="37"/>
    </row>
    <row r="54" spans="1:10" ht="12.65" customHeight="1" x14ac:dyDescent="0.35"/>
    <row r="55" spans="1:10" ht="12.65" customHeight="1" x14ac:dyDescent="0.35">
      <c r="A55" s="74">
        <v>9</v>
      </c>
      <c r="B55" t="s">
        <v>63</v>
      </c>
      <c r="D55" s="46">
        <f>ROUND(D53/D41,5)</f>
        <v>0</v>
      </c>
      <c r="E55" s="46">
        <f>ROUND(E53/E41,5)</f>
        <v>0</v>
      </c>
    </row>
    <row r="56" spans="1:10" ht="6" customHeight="1" x14ac:dyDescent="0.35"/>
    <row r="57" spans="1:10" x14ac:dyDescent="0.35">
      <c r="A57" s="74">
        <v>10</v>
      </c>
      <c r="B57" t="s">
        <v>64</v>
      </c>
      <c r="D57" s="46">
        <f>D43+D55</f>
        <v>-7.2500000000000004E-3</v>
      </c>
      <c r="E57" s="46">
        <f>E43+E55</f>
        <v>-8.8000000000000003E-4</v>
      </c>
    </row>
    <row r="58" spans="1:10" ht="13.9" customHeight="1" x14ac:dyDescent="0.35"/>
    <row r="59" spans="1:10" ht="13.9" customHeight="1" x14ac:dyDescent="0.35">
      <c r="A59" s="74">
        <v>11</v>
      </c>
      <c r="B59" t="s">
        <v>65</v>
      </c>
      <c r="D59" s="44">
        <f>(D57-D45)*D41</f>
        <v>-12627963.805017343</v>
      </c>
      <c r="E59" s="44">
        <f>(E57-E45)*E41</f>
        <v>-4721858.3975428762</v>
      </c>
      <c r="F59" s="44"/>
      <c r="G59" s="49" t="e">
        <f>#REF!+#REF!</f>
        <v>#REF!</v>
      </c>
      <c r="J59" s="35"/>
    </row>
    <row r="60" spans="1:10" ht="14.5" customHeight="1" x14ac:dyDescent="0.35">
      <c r="D60" s="49"/>
      <c r="G60" s="49"/>
    </row>
    <row r="61" spans="1:10" ht="14.5" customHeight="1" x14ac:dyDescent="0.35">
      <c r="A61" s="74">
        <v>12</v>
      </c>
      <c r="B61" t="s">
        <v>66</v>
      </c>
      <c r="D61" s="47">
        <f>D59/D39</f>
        <v>-4.6965742594732962E-2</v>
      </c>
      <c r="E61" s="47">
        <f>E59/E39</f>
        <v>-2.049478270652328E-2</v>
      </c>
      <c r="F61" s="47"/>
    </row>
    <row r="62" spans="1:10" ht="16.149999999999999" customHeight="1" x14ac:dyDescent="0.35"/>
    <row r="63" spans="1:10" ht="16.149999999999999" customHeight="1" x14ac:dyDescent="0.35">
      <c r="B63" t="s">
        <v>69</v>
      </c>
    </row>
    <row r="64" spans="1:10" ht="31.5" customHeight="1" x14ac:dyDescent="0.35">
      <c r="B64" s="182" t="s">
        <v>197</v>
      </c>
      <c r="C64" s="182"/>
      <c r="D64" s="182"/>
      <c r="E64" s="182"/>
      <c r="F64" s="182"/>
      <c r="G64" s="182"/>
      <c r="H64" s="182"/>
    </row>
    <row r="65" spans="2:8" ht="54" customHeight="1" x14ac:dyDescent="0.35">
      <c r="B65" s="182" t="s">
        <v>175</v>
      </c>
      <c r="C65" s="182"/>
      <c r="D65" s="182"/>
      <c r="E65" s="182"/>
      <c r="F65" s="182"/>
      <c r="G65" s="182"/>
      <c r="H65" s="182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8">
    <mergeCell ref="B65:H65"/>
    <mergeCell ref="B64:H64"/>
    <mergeCell ref="B1:H1"/>
    <mergeCell ref="B2:H2"/>
    <mergeCell ref="B3:H3"/>
    <mergeCell ref="E32:E33"/>
    <mergeCell ref="D32:D33"/>
    <mergeCell ref="B39:C39"/>
  </mergeCells>
  <printOptions horizontalCentered="1"/>
  <pageMargins left="0.7" right="0.7" top="0.55000000000000004" bottom="0.48" header="0.3" footer="0.3"/>
  <pageSetup scale="88" firstPageNumber="6" orientation="portrait" useFirstPageNumber="1" r:id="rId3"/>
  <headerFooter scaleWithDoc="0">
    <oddFooter>&amp;CATTACHMENT A&amp;RPage &amp;P of 9</oddFooter>
  </headerFooter>
  <rowBreaks count="1" manualBreakCount="1">
    <brk id="37" max="7" man="1"/>
  </rowBreak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6"/>
  <sheetViews>
    <sheetView topLeftCell="A89" zoomScaleNormal="100" workbookViewId="0">
      <selection activeCell="C111" sqref="C111"/>
    </sheetView>
  </sheetViews>
  <sheetFormatPr defaultRowHeight="14.5" x14ac:dyDescent="0.35"/>
  <cols>
    <col min="1" max="1" width="6.453125" customWidth="1"/>
    <col min="2" max="2" width="2.1796875" customWidth="1"/>
    <col min="3" max="3" width="37.26953125" customWidth="1"/>
    <col min="5" max="5" width="11.453125" bestFit="1" customWidth="1"/>
    <col min="6" max="6" width="2.26953125" customWidth="1"/>
  </cols>
  <sheetData>
    <row r="1" spans="1:5" ht="14.5" hidden="1" customHeight="1" x14ac:dyDescent="0.35">
      <c r="A1" s="1" t="s">
        <v>13</v>
      </c>
      <c r="B1" s="1"/>
      <c r="C1" s="1"/>
      <c r="D1" s="1"/>
      <c r="E1" s="2"/>
    </row>
    <row r="2" spans="1:5" hidden="1" x14ac:dyDescent="0.35">
      <c r="A2" s="186" t="s">
        <v>14</v>
      </c>
      <c r="B2" s="186"/>
      <c r="C2" s="186"/>
      <c r="D2" s="186"/>
      <c r="E2" s="186"/>
    </row>
    <row r="3" spans="1:5" hidden="1" x14ac:dyDescent="0.35">
      <c r="A3" s="186" t="s">
        <v>15</v>
      </c>
      <c r="B3" s="186"/>
      <c r="C3" s="186"/>
      <c r="D3" s="186"/>
      <c r="E3" s="186"/>
    </row>
    <row r="4" spans="1:5" ht="15.5" hidden="1" x14ac:dyDescent="0.35">
      <c r="A4" s="186" t="s">
        <v>16</v>
      </c>
      <c r="B4" s="189"/>
      <c r="C4" s="186"/>
      <c r="D4" s="186"/>
      <c r="E4" s="186"/>
    </row>
    <row r="5" spans="1:5" hidden="1" x14ac:dyDescent="0.35">
      <c r="A5" s="3"/>
      <c r="B5" s="3"/>
      <c r="C5" s="3"/>
      <c r="D5" s="3"/>
      <c r="E5" s="4"/>
    </row>
    <row r="6" spans="1:5" hidden="1" x14ac:dyDescent="0.35">
      <c r="A6" s="5" t="s">
        <v>17</v>
      </c>
      <c r="B6" s="5"/>
      <c r="C6" s="5"/>
      <c r="D6" s="5"/>
      <c r="E6" s="6"/>
    </row>
    <row r="7" spans="1:5" hidden="1" x14ac:dyDescent="0.35">
      <c r="A7" s="7" t="s">
        <v>18</v>
      </c>
      <c r="B7" s="5"/>
      <c r="C7" s="7" t="s">
        <v>19</v>
      </c>
      <c r="D7" s="8"/>
      <c r="E7" s="9" t="s">
        <v>20</v>
      </c>
    </row>
    <row r="8" spans="1:5" hidden="1" x14ac:dyDescent="0.35">
      <c r="A8" s="3"/>
      <c r="B8" s="3"/>
      <c r="C8" s="3"/>
      <c r="D8" s="3"/>
      <c r="E8" s="4"/>
    </row>
    <row r="9" spans="1:5" hidden="1" x14ac:dyDescent="0.35">
      <c r="A9" s="10">
        <v>1</v>
      </c>
      <c r="B9" s="3"/>
      <c r="C9" s="11" t="s">
        <v>21</v>
      </c>
      <c r="D9" s="3"/>
      <c r="E9" s="12">
        <v>1</v>
      </c>
    </row>
    <row r="10" spans="1:5" hidden="1" x14ac:dyDescent="0.35">
      <c r="A10" s="10"/>
      <c r="B10" s="3"/>
      <c r="C10" s="3"/>
      <c r="D10" s="3"/>
      <c r="E10" s="12"/>
    </row>
    <row r="11" spans="1:5" hidden="1" x14ac:dyDescent="0.35">
      <c r="A11" s="10"/>
      <c r="B11" s="3"/>
      <c r="C11" s="13" t="s">
        <v>22</v>
      </c>
      <c r="D11" s="14"/>
      <c r="E11" s="12"/>
    </row>
    <row r="12" spans="1:5" hidden="1" x14ac:dyDescent="0.35">
      <c r="A12" s="10">
        <v>2</v>
      </c>
      <c r="B12" s="3"/>
      <c r="C12" s="14" t="s">
        <v>23</v>
      </c>
      <c r="D12" s="14"/>
      <c r="E12" s="14">
        <v>4.849E-3</v>
      </c>
    </row>
    <row r="13" spans="1:5" hidden="1" x14ac:dyDescent="0.35">
      <c r="A13" s="10"/>
      <c r="B13" s="3"/>
      <c r="C13" s="14"/>
      <c r="D13" s="14"/>
      <c r="E13" s="14"/>
    </row>
    <row r="14" spans="1:5" hidden="1" x14ac:dyDescent="0.35">
      <c r="A14" s="10">
        <v>3</v>
      </c>
      <c r="B14" s="3"/>
      <c r="C14" s="14" t="s">
        <v>24</v>
      </c>
      <c r="D14" s="14"/>
      <c r="E14" s="14">
        <v>2E-3</v>
      </c>
    </row>
    <row r="15" spans="1:5" hidden="1" x14ac:dyDescent="0.35">
      <c r="A15" s="10"/>
      <c r="B15" s="3"/>
      <c r="C15" s="14"/>
      <c r="D15" s="14"/>
      <c r="E15" s="14"/>
    </row>
    <row r="16" spans="1:5" hidden="1" x14ac:dyDescent="0.35">
      <c r="A16" s="10">
        <v>4</v>
      </c>
      <c r="B16" s="3"/>
      <c r="C16" s="14" t="s">
        <v>25</v>
      </c>
      <c r="D16" s="14"/>
      <c r="E16" s="14">
        <v>3.8545999999999997E-2</v>
      </c>
    </row>
    <row r="17" spans="1:5" hidden="1" x14ac:dyDescent="0.35">
      <c r="A17" s="10"/>
      <c r="B17" s="3"/>
      <c r="C17" s="14"/>
      <c r="D17" s="14"/>
      <c r="E17" s="14"/>
    </row>
    <row r="18" spans="1:5" ht="15" hidden="1" thickBot="1" x14ac:dyDescent="0.4">
      <c r="A18" s="10">
        <v>5</v>
      </c>
      <c r="B18" s="3"/>
      <c r="C18" s="14" t="s">
        <v>26</v>
      </c>
      <c r="D18" s="14"/>
      <c r="E18" s="22">
        <f>SUM(E12:E16)</f>
        <v>4.5394999999999998E-2</v>
      </c>
    </row>
    <row r="19" spans="1:5" hidden="1" x14ac:dyDescent="0.35">
      <c r="A19" s="10"/>
      <c r="B19" s="3"/>
      <c r="C19" s="14"/>
      <c r="D19" s="14"/>
      <c r="E19" s="16"/>
    </row>
    <row r="20" spans="1:5" hidden="1" x14ac:dyDescent="0.35">
      <c r="A20" s="10">
        <v>6</v>
      </c>
      <c r="B20" s="3"/>
      <c r="C20" s="14" t="s">
        <v>27</v>
      </c>
      <c r="D20" s="14"/>
      <c r="E20" s="16">
        <f>E9-E18</f>
        <v>0.95460500000000004</v>
      </c>
    </row>
    <row r="21" spans="1:5" hidden="1" x14ac:dyDescent="0.35">
      <c r="A21" s="3"/>
      <c r="B21" s="3"/>
      <c r="C21" s="14"/>
      <c r="D21" s="14"/>
      <c r="E21" s="16"/>
    </row>
    <row r="22" spans="1:5" hidden="1" x14ac:dyDescent="0.35">
      <c r="A22" s="10">
        <v>7</v>
      </c>
      <c r="B22" s="3"/>
      <c r="C22" s="14" t="s">
        <v>28</v>
      </c>
      <c r="D22" s="17"/>
      <c r="E22" s="18">
        <f>ROUND(E20*0.35,6)</f>
        <v>0.33411200000000002</v>
      </c>
    </row>
    <row r="23" spans="1:5" hidden="1" x14ac:dyDescent="0.35">
      <c r="A23" s="3"/>
      <c r="B23" s="3"/>
      <c r="C23" s="14"/>
      <c r="D23" s="14"/>
      <c r="E23" s="16"/>
    </row>
    <row r="24" spans="1:5" ht="15" hidden="1" thickBot="1" x14ac:dyDescent="0.4">
      <c r="A24" s="10">
        <v>8</v>
      </c>
      <c r="B24" s="3"/>
      <c r="C24" s="13" t="s">
        <v>29</v>
      </c>
      <c r="D24" s="14"/>
      <c r="E24" s="19">
        <f>ROUND(E20-E22,5)</f>
        <v>0.62048999999999999</v>
      </c>
    </row>
    <row r="25" spans="1:5" hidden="1" x14ac:dyDescent="0.35">
      <c r="A25" s="20"/>
      <c r="B25" s="20"/>
      <c r="C25" s="20"/>
      <c r="D25" s="20"/>
      <c r="E25" s="20"/>
    </row>
    <row r="26" spans="1:5" hidden="1" x14ac:dyDescent="0.35">
      <c r="C26" t="s">
        <v>30</v>
      </c>
    </row>
    <row r="27" spans="1:5" hidden="1" x14ac:dyDescent="0.35">
      <c r="C27" t="s">
        <v>31</v>
      </c>
    </row>
    <row r="28" spans="1:5" hidden="1" x14ac:dyDescent="0.35">
      <c r="C28" t="s">
        <v>37</v>
      </c>
      <c r="E28">
        <f>1/E20</f>
        <v>1.0475537002215576</v>
      </c>
    </row>
    <row r="29" spans="1:5" hidden="1" x14ac:dyDescent="0.35"/>
    <row r="30" spans="1:5" ht="14.5" hidden="1" customHeight="1" x14ac:dyDescent="0.35">
      <c r="A30" s="1" t="s">
        <v>13</v>
      </c>
      <c r="B30" s="1"/>
      <c r="C30" s="1"/>
      <c r="D30" s="1">
        <f>D28+D29</f>
        <v>0</v>
      </c>
      <c r="E30" s="2"/>
    </row>
    <row r="31" spans="1:5" hidden="1" x14ac:dyDescent="0.35">
      <c r="A31" s="186" t="s">
        <v>14</v>
      </c>
      <c r="B31" s="186"/>
      <c r="C31" s="186"/>
      <c r="D31" s="186"/>
      <c r="E31" s="186"/>
    </row>
    <row r="32" spans="1:5" hidden="1" x14ac:dyDescent="0.35">
      <c r="A32" s="186" t="s">
        <v>15</v>
      </c>
      <c r="B32" s="186"/>
      <c r="C32" s="186"/>
      <c r="D32" s="186"/>
      <c r="E32" s="186"/>
    </row>
    <row r="33" spans="1:5" ht="15.5" hidden="1" x14ac:dyDescent="0.35">
      <c r="A33" s="186" t="s">
        <v>32</v>
      </c>
      <c r="B33" s="189"/>
      <c r="C33" s="186"/>
      <c r="D33" s="186"/>
      <c r="E33" s="186"/>
    </row>
    <row r="34" spans="1:5" hidden="1" x14ac:dyDescent="0.35">
      <c r="A34" s="3"/>
      <c r="B34" s="3"/>
      <c r="C34" s="3"/>
      <c r="D34" s="3"/>
      <c r="E34" s="4"/>
    </row>
    <row r="35" spans="1:5" hidden="1" x14ac:dyDescent="0.35">
      <c r="A35" s="5" t="s">
        <v>17</v>
      </c>
      <c r="B35" s="5"/>
      <c r="C35" s="5"/>
      <c r="D35" s="5"/>
      <c r="E35" s="6"/>
    </row>
    <row r="36" spans="1:5" hidden="1" x14ac:dyDescent="0.35">
      <c r="A36" s="7" t="s">
        <v>18</v>
      </c>
      <c r="B36" s="5"/>
      <c r="C36" s="7" t="s">
        <v>19</v>
      </c>
      <c r="D36" s="8"/>
      <c r="E36" s="9" t="s">
        <v>20</v>
      </c>
    </row>
    <row r="37" spans="1:5" hidden="1" x14ac:dyDescent="0.35">
      <c r="A37" s="3"/>
      <c r="B37" s="3"/>
      <c r="C37" s="3"/>
      <c r="D37" s="3"/>
      <c r="E37" s="4"/>
    </row>
    <row r="38" spans="1:5" hidden="1" x14ac:dyDescent="0.35">
      <c r="A38" s="10">
        <v>1</v>
      </c>
      <c r="B38" s="3"/>
      <c r="C38" s="11" t="s">
        <v>21</v>
      </c>
      <c r="D38" s="3"/>
      <c r="E38" s="12">
        <v>1</v>
      </c>
    </row>
    <row r="39" spans="1:5" hidden="1" x14ac:dyDescent="0.35">
      <c r="A39" s="10"/>
      <c r="B39" s="3"/>
      <c r="C39" s="3"/>
      <c r="D39" s="3"/>
      <c r="E39" s="12"/>
    </row>
    <row r="40" spans="1:5" hidden="1" x14ac:dyDescent="0.35">
      <c r="A40" s="10"/>
      <c r="B40" s="3"/>
      <c r="C40" s="13" t="s">
        <v>22</v>
      </c>
      <c r="D40" s="14"/>
      <c r="E40" s="12"/>
    </row>
    <row r="41" spans="1:5" hidden="1" x14ac:dyDescent="0.35">
      <c r="A41" s="10">
        <v>2</v>
      </c>
      <c r="B41" s="3"/>
      <c r="C41" s="14" t="s">
        <v>23</v>
      </c>
      <c r="D41" s="14"/>
      <c r="E41" s="14">
        <v>4.4488865114927787E-3</v>
      </c>
    </row>
    <row r="42" spans="1:5" hidden="1" x14ac:dyDescent="0.35">
      <c r="A42" s="10"/>
      <c r="B42" s="3"/>
      <c r="C42" s="14"/>
      <c r="D42" s="14"/>
      <c r="E42" s="14"/>
    </row>
    <row r="43" spans="1:5" hidden="1" x14ac:dyDescent="0.35">
      <c r="A43" s="10">
        <v>3</v>
      </c>
      <c r="B43" s="3"/>
      <c r="C43" s="14" t="s">
        <v>24</v>
      </c>
      <c r="D43" s="14"/>
      <c r="E43" s="14">
        <v>2E-3</v>
      </c>
    </row>
    <row r="44" spans="1:5" hidden="1" x14ac:dyDescent="0.35">
      <c r="A44" s="10"/>
      <c r="B44" s="3"/>
      <c r="C44" s="14"/>
      <c r="D44" s="14"/>
      <c r="E44" s="14"/>
    </row>
    <row r="45" spans="1:5" hidden="1" x14ac:dyDescent="0.35">
      <c r="A45" s="10">
        <v>4</v>
      </c>
      <c r="B45" s="3"/>
      <c r="C45" s="14" t="s">
        <v>25</v>
      </c>
      <c r="D45" s="14"/>
      <c r="E45" s="14">
        <v>3.8561676829863833E-2</v>
      </c>
    </row>
    <row r="46" spans="1:5" hidden="1" x14ac:dyDescent="0.35">
      <c r="A46" s="10"/>
      <c r="B46" s="3"/>
      <c r="C46" s="14"/>
      <c r="D46" s="14"/>
      <c r="E46" s="14"/>
    </row>
    <row r="47" spans="1:5" hidden="1" x14ac:dyDescent="0.35">
      <c r="A47" s="10">
        <v>5</v>
      </c>
      <c r="B47" s="3"/>
      <c r="C47" s="14" t="s">
        <v>33</v>
      </c>
      <c r="D47" s="14"/>
      <c r="E47" s="14">
        <v>0</v>
      </c>
    </row>
    <row r="48" spans="1:5" hidden="1" x14ac:dyDescent="0.35">
      <c r="A48" s="10"/>
      <c r="B48" s="3"/>
      <c r="C48" s="14"/>
      <c r="D48" s="14"/>
      <c r="E48" s="14"/>
    </row>
    <row r="49" spans="1:5" hidden="1" x14ac:dyDescent="0.35">
      <c r="A49" s="10">
        <v>6</v>
      </c>
      <c r="B49" s="3"/>
      <c r="C49" s="14" t="s">
        <v>26</v>
      </c>
      <c r="D49" s="14"/>
      <c r="E49" s="15">
        <f>SUM(E41:E47)</f>
        <v>4.5010563341356613E-2</v>
      </c>
    </row>
    <row r="50" spans="1:5" hidden="1" x14ac:dyDescent="0.35">
      <c r="A50" s="3"/>
      <c r="B50" s="3"/>
      <c r="C50" s="14"/>
      <c r="D50" s="14"/>
      <c r="E50" s="16"/>
    </row>
    <row r="51" spans="1:5" hidden="1" x14ac:dyDescent="0.35">
      <c r="A51" s="10">
        <v>7</v>
      </c>
      <c r="B51" s="3"/>
      <c r="C51" s="14" t="s">
        <v>27</v>
      </c>
      <c r="D51" s="14"/>
      <c r="E51" s="16">
        <f>E38-E49</f>
        <v>0.95498943665864333</v>
      </c>
    </row>
    <row r="52" spans="1:5" hidden="1" x14ac:dyDescent="0.35">
      <c r="A52" s="3"/>
      <c r="B52" s="3"/>
      <c r="C52" s="14"/>
      <c r="D52" s="14"/>
      <c r="E52" s="16"/>
    </row>
    <row r="53" spans="1:5" hidden="1" x14ac:dyDescent="0.35">
      <c r="A53" s="10">
        <v>8</v>
      </c>
      <c r="B53" s="3"/>
      <c r="C53" s="14" t="s">
        <v>28</v>
      </c>
      <c r="D53" s="17"/>
      <c r="E53" s="18">
        <f>ROUND(E51*0.35,6)</f>
        <v>0.33424599999999999</v>
      </c>
    </row>
    <row r="54" spans="1:5" hidden="1" x14ac:dyDescent="0.35">
      <c r="A54" s="3"/>
      <c r="B54" s="3"/>
      <c r="C54" s="14"/>
      <c r="D54" s="14"/>
      <c r="E54" s="16"/>
    </row>
    <row r="55" spans="1:5" ht="15" hidden="1" thickBot="1" x14ac:dyDescent="0.4">
      <c r="A55" s="10">
        <v>9</v>
      </c>
      <c r="B55" s="3"/>
      <c r="C55" s="13" t="s">
        <v>29</v>
      </c>
      <c r="D55" s="14"/>
      <c r="E55" s="21">
        <f>ROUND(E51-E53,5)</f>
        <v>0.62073999999999996</v>
      </c>
    </row>
    <row r="56" spans="1:5" hidden="1" x14ac:dyDescent="0.35">
      <c r="A56" s="20"/>
      <c r="B56" s="20"/>
      <c r="C56" s="20"/>
      <c r="D56" s="20"/>
      <c r="E56" s="20"/>
    </row>
    <row r="57" spans="1:5" hidden="1" x14ac:dyDescent="0.35">
      <c r="C57" t="s">
        <v>30</v>
      </c>
    </row>
    <row r="58" spans="1:5" hidden="1" x14ac:dyDescent="0.35">
      <c r="C58" t="s">
        <v>34</v>
      </c>
    </row>
    <row r="59" spans="1:5" hidden="1" x14ac:dyDescent="0.35">
      <c r="C59" t="s">
        <v>37</v>
      </c>
      <c r="E59">
        <f>1/E51</f>
        <v>1.0471320012699215</v>
      </c>
    </row>
    <row r="60" spans="1:5" hidden="1" x14ac:dyDescent="0.35"/>
    <row r="61" spans="1:5" hidden="1" x14ac:dyDescent="0.35">
      <c r="A61" s="185" t="s">
        <v>14</v>
      </c>
      <c r="B61" s="185"/>
      <c r="C61" s="185"/>
      <c r="D61" s="185"/>
      <c r="E61" s="185"/>
    </row>
    <row r="62" spans="1:5" hidden="1" x14ac:dyDescent="0.35">
      <c r="A62" s="186" t="s">
        <v>15</v>
      </c>
      <c r="B62" s="186"/>
      <c r="C62" s="186"/>
      <c r="D62" s="186"/>
      <c r="E62" s="186"/>
    </row>
    <row r="63" spans="1:5" ht="15.65" hidden="1" customHeight="1" x14ac:dyDescent="0.35">
      <c r="A63" s="187" t="s">
        <v>35</v>
      </c>
      <c r="B63" s="188"/>
      <c r="C63" s="187"/>
      <c r="D63" s="187"/>
      <c r="E63" s="187"/>
    </row>
    <row r="64" spans="1:5" hidden="1" x14ac:dyDescent="0.35">
      <c r="A64" s="3"/>
      <c r="B64" s="3"/>
      <c r="C64" s="3"/>
      <c r="D64" s="3"/>
      <c r="E64" s="4"/>
    </row>
    <row r="65" spans="1:5" hidden="1" x14ac:dyDescent="0.35">
      <c r="A65" s="5" t="s">
        <v>17</v>
      </c>
      <c r="B65" s="5"/>
      <c r="C65" s="5"/>
      <c r="D65" s="5"/>
      <c r="E65" s="6"/>
    </row>
    <row r="66" spans="1:5" hidden="1" x14ac:dyDescent="0.35">
      <c r="A66" s="7" t="s">
        <v>18</v>
      </c>
      <c r="B66" s="5"/>
      <c r="C66" s="7" t="s">
        <v>19</v>
      </c>
      <c r="D66" s="8"/>
      <c r="E66" s="9" t="s">
        <v>20</v>
      </c>
    </row>
    <row r="67" spans="1:5" hidden="1" x14ac:dyDescent="0.35">
      <c r="A67" s="3"/>
      <c r="B67" s="3"/>
      <c r="C67" s="3"/>
      <c r="D67" s="3"/>
      <c r="E67" s="4"/>
    </row>
    <row r="68" spans="1:5" hidden="1" x14ac:dyDescent="0.35">
      <c r="A68" s="10">
        <v>1</v>
      </c>
      <c r="B68" s="3"/>
      <c r="C68" s="11" t="s">
        <v>21</v>
      </c>
      <c r="D68" s="3"/>
      <c r="E68" s="12">
        <v>1</v>
      </c>
    </row>
    <row r="69" spans="1:5" hidden="1" x14ac:dyDescent="0.35">
      <c r="A69" s="10"/>
      <c r="B69" s="3"/>
      <c r="C69" s="3"/>
      <c r="D69" s="3"/>
      <c r="E69" s="12"/>
    </row>
    <row r="70" spans="1:5" hidden="1" x14ac:dyDescent="0.35">
      <c r="A70" s="10"/>
      <c r="B70" s="3"/>
      <c r="C70" s="13" t="s">
        <v>22</v>
      </c>
      <c r="D70" s="14"/>
      <c r="E70" s="12"/>
    </row>
    <row r="71" spans="1:5" hidden="1" x14ac:dyDescent="0.35">
      <c r="A71" s="10">
        <v>2</v>
      </c>
      <c r="B71" s="3"/>
      <c r="C71" s="14" t="s">
        <v>23</v>
      </c>
      <c r="D71" s="14"/>
      <c r="E71" s="14">
        <v>5.8552999999999999E-3</v>
      </c>
    </row>
    <row r="72" spans="1:5" hidden="1" x14ac:dyDescent="0.35">
      <c r="A72" s="10"/>
      <c r="B72" s="3"/>
      <c r="C72" s="14"/>
      <c r="D72" s="14"/>
      <c r="E72" s="14"/>
    </row>
    <row r="73" spans="1:5" hidden="1" x14ac:dyDescent="0.35">
      <c r="A73" s="10">
        <v>3</v>
      </c>
      <c r="B73" s="3"/>
      <c r="C73" s="14" t="s">
        <v>24</v>
      </c>
      <c r="D73" s="14"/>
      <c r="E73" s="14">
        <v>2E-3</v>
      </c>
    </row>
    <row r="74" spans="1:5" hidden="1" x14ac:dyDescent="0.35">
      <c r="A74" s="10"/>
      <c r="B74" s="3"/>
      <c r="C74" s="14"/>
      <c r="D74" s="14"/>
      <c r="E74" s="14"/>
    </row>
    <row r="75" spans="1:5" hidden="1" x14ac:dyDescent="0.35">
      <c r="A75" s="10">
        <v>4</v>
      </c>
      <c r="B75" s="3"/>
      <c r="C75" s="14" t="s">
        <v>25</v>
      </c>
      <c r="D75" s="14"/>
      <c r="E75" s="14">
        <v>3.8507300000000001E-2</v>
      </c>
    </row>
    <row r="76" spans="1:5" hidden="1" x14ac:dyDescent="0.35">
      <c r="A76" s="10"/>
      <c r="B76" s="3"/>
      <c r="C76" s="14"/>
      <c r="D76" s="14"/>
      <c r="E76" s="14"/>
    </row>
    <row r="77" spans="1:5" hidden="1" x14ac:dyDescent="0.35">
      <c r="A77" s="10">
        <v>5</v>
      </c>
      <c r="B77" s="3"/>
      <c r="C77" s="14" t="s">
        <v>26</v>
      </c>
      <c r="D77" s="14"/>
      <c r="E77" s="15">
        <f>SUM(E71:E75)</f>
        <v>4.6362600000000004E-2</v>
      </c>
    </row>
    <row r="78" spans="1:5" hidden="1" x14ac:dyDescent="0.35">
      <c r="A78" s="10"/>
      <c r="B78" s="3"/>
      <c r="C78" s="14"/>
      <c r="D78" s="14"/>
      <c r="E78" s="16"/>
    </row>
    <row r="79" spans="1:5" hidden="1" x14ac:dyDescent="0.35">
      <c r="A79" s="10">
        <v>6</v>
      </c>
      <c r="B79" s="3"/>
      <c r="C79" s="14" t="s">
        <v>27</v>
      </c>
      <c r="D79" s="14"/>
      <c r="E79" s="16">
        <f>E68-E77</f>
        <v>0.95363739999999997</v>
      </c>
    </row>
    <row r="80" spans="1:5" hidden="1" x14ac:dyDescent="0.35">
      <c r="A80" s="3"/>
      <c r="B80" s="3"/>
      <c r="C80" s="14"/>
      <c r="D80" s="14"/>
      <c r="E80" s="16"/>
    </row>
    <row r="81" spans="1:7" hidden="1" x14ac:dyDescent="0.35">
      <c r="A81" s="10">
        <v>7</v>
      </c>
      <c r="B81" s="3"/>
      <c r="C81" s="14" t="s">
        <v>28</v>
      </c>
      <c r="D81" s="17"/>
      <c r="E81" s="18">
        <f>ROUND(E79*0.35,6)</f>
        <v>0.33377299999999999</v>
      </c>
    </row>
    <row r="82" spans="1:7" hidden="1" x14ac:dyDescent="0.35">
      <c r="A82" s="3"/>
      <c r="B82" s="3"/>
      <c r="C82" s="14"/>
      <c r="D82" s="14"/>
      <c r="E82" s="16"/>
    </row>
    <row r="83" spans="1:7" ht="15" hidden="1" thickBot="1" x14ac:dyDescent="0.4">
      <c r="A83" s="10">
        <v>8</v>
      </c>
      <c r="B83" s="3"/>
      <c r="C83" s="13" t="s">
        <v>29</v>
      </c>
      <c r="D83" s="14"/>
      <c r="E83" s="23">
        <f>ROUND(E79-E81,6)</f>
        <v>0.61986399999999997</v>
      </c>
    </row>
    <row r="84" spans="1:7" hidden="1" x14ac:dyDescent="0.35"/>
    <row r="85" spans="1:7" hidden="1" x14ac:dyDescent="0.35">
      <c r="C85" t="s">
        <v>36</v>
      </c>
    </row>
    <row r="86" spans="1:7" hidden="1" x14ac:dyDescent="0.35">
      <c r="C86" t="s">
        <v>34</v>
      </c>
    </row>
    <row r="87" spans="1:7" hidden="1" x14ac:dyDescent="0.35">
      <c r="C87" t="s">
        <v>37</v>
      </c>
      <c r="E87">
        <f>1/E79</f>
        <v>1.0486165915892141</v>
      </c>
    </row>
    <row r="88" spans="1:7" hidden="1" x14ac:dyDescent="0.35"/>
    <row r="89" spans="1:7" x14ac:dyDescent="0.35">
      <c r="A89" s="1" t="s">
        <v>13</v>
      </c>
      <c r="B89" s="1"/>
      <c r="C89" s="1"/>
      <c r="D89" s="1"/>
      <c r="E89" s="2"/>
    </row>
    <row r="90" spans="1:7" x14ac:dyDescent="0.35">
      <c r="A90" s="1" t="s">
        <v>14</v>
      </c>
      <c r="B90" s="1"/>
      <c r="C90" s="1"/>
      <c r="D90" s="1"/>
      <c r="E90" s="2"/>
    </row>
    <row r="91" spans="1:7" x14ac:dyDescent="0.35">
      <c r="A91" s="1" t="s">
        <v>15</v>
      </c>
      <c r="B91" s="1"/>
      <c r="C91" s="1"/>
      <c r="D91" s="1"/>
      <c r="E91" s="2"/>
    </row>
    <row r="92" spans="1:7" x14ac:dyDescent="0.35">
      <c r="A92" s="1" t="s">
        <v>195</v>
      </c>
      <c r="B92" s="1"/>
      <c r="C92" s="1"/>
      <c r="D92" s="1"/>
      <c r="E92" s="2"/>
      <c r="G92" s="65"/>
    </row>
    <row r="93" spans="1:7" x14ac:dyDescent="0.35">
      <c r="A93" s="3"/>
      <c r="B93" s="3"/>
      <c r="C93" s="3"/>
      <c r="D93" s="3"/>
      <c r="E93" s="4"/>
    </row>
    <row r="94" spans="1:7" x14ac:dyDescent="0.35">
      <c r="A94" s="5" t="s">
        <v>17</v>
      </c>
      <c r="B94" s="5"/>
      <c r="C94" s="5"/>
      <c r="D94" s="5"/>
      <c r="E94" s="6"/>
    </row>
    <row r="95" spans="1:7" x14ac:dyDescent="0.35">
      <c r="A95" s="7" t="s">
        <v>18</v>
      </c>
      <c r="B95" s="5"/>
      <c r="C95" s="7" t="s">
        <v>19</v>
      </c>
      <c r="D95" s="8"/>
      <c r="E95" s="9" t="s">
        <v>20</v>
      </c>
    </row>
    <row r="96" spans="1:7" x14ac:dyDescent="0.35">
      <c r="A96" s="3"/>
      <c r="B96" s="3"/>
      <c r="C96" s="3"/>
      <c r="D96" s="3"/>
      <c r="E96" s="4"/>
    </row>
    <row r="97" spans="1:5" x14ac:dyDescent="0.35">
      <c r="A97" s="10">
        <v>1</v>
      </c>
      <c r="B97" s="3"/>
      <c r="C97" s="11" t="s">
        <v>21</v>
      </c>
      <c r="D97" s="3"/>
      <c r="E97" s="12">
        <v>1</v>
      </c>
    </row>
    <row r="98" spans="1:5" x14ac:dyDescent="0.35">
      <c r="A98" s="10"/>
      <c r="B98" s="3"/>
      <c r="C98" s="3"/>
      <c r="D98" s="3"/>
      <c r="E98" s="12"/>
    </row>
    <row r="99" spans="1:5" x14ac:dyDescent="0.35">
      <c r="A99" s="10"/>
      <c r="B99" s="3"/>
      <c r="C99" s="13" t="s">
        <v>22</v>
      </c>
      <c r="D99" s="14"/>
      <c r="E99" s="12"/>
    </row>
    <row r="100" spans="1:5" x14ac:dyDescent="0.35">
      <c r="A100" s="10">
        <v>2</v>
      </c>
      <c r="B100" s="3"/>
      <c r="C100" s="14" t="s">
        <v>23</v>
      </c>
      <c r="D100" s="14"/>
      <c r="E100" s="148">
        <v>3.3262885794710221E-3</v>
      </c>
    </row>
    <row r="101" spans="1:5" x14ac:dyDescent="0.35">
      <c r="A101" s="10"/>
      <c r="B101" s="3"/>
      <c r="C101" s="14"/>
      <c r="D101" s="14"/>
      <c r="E101" s="136"/>
    </row>
    <row r="102" spans="1:5" x14ac:dyDescent="0.35">
      <c r="A102" s="10">
        <v>3</v>
      </c>
      <c r="B102" s="3"/>
      <c r="C102" s="14" t="s">
        <v>24</v>
      </c>
      <c r="D102" s="14"/>
      <c r="E102" s="148">
        <v>2E-3</v>
      </c>
    </row>
    <row r="103" spans="1:5" x14ac:dyDescent="0.35">
      <c r="A103" s="10"/>
      <c r="B103" s="3"/>
      <c r="C103" s="14"/>
      <c r="D103" s="14"/>
      <c r="E103" s="136"/>
    </row>
    <row r="104" spans="1:5" x14ac:dyDescent="0.35">
      <c r="A104" s="10">
        <v>4</v>
      </c>
      <c r="B104" s="3"/>
      <c r="C104" s="14" t="s">
        <v>25</v>
      </c>
      <c r="D104" s="14"/>
      <c r="E104" s="148">
        <v>3.8605159538162764E-2</v>
      </c>
    </row>
    <row r="105" spans="1:5" x14ac:dyDescent="0.35">
      <c r="A105" s="10"/>
      <c r="B105" s="3"/>
      <c r="C105" s="14"/>
      <c r="D105" s="14"/>
      <c r="E105" s="14"/>
    </row>
    <row r="106" spans="1:5" x14ac:dyDescent="0.35">
      <c r="A106" s="10">
        <v>5</v>
      </c>
      <c r="B106" s="3"/>
      <c r="C106" s="14" t="s">
        <v>26</v>
      </c>
      <c r="D106" s="14"/>
      <c r="E106" s="15">
        <f>ROUND(SUM(E100:E105),6)</f>
        <v>4.3930999999999998E-2</v>
      </c>
    </row>
    <row r="107" spans="1:5" x14ac:dyDescent="0.35">
      <c r="A107" s="3"/>
      <c r="B107" s="3"/>
      <c r="C107" s="14"/>
      <c r="D107" s="14"/>
      <c r="E107" s="16"/>
    </row>
    <row r="108" spans="1:5" x14ac:dyDescent="0.35">
      <c r="A108" s="10">
        <v>6</v>
      </c>
      <c r="B108" s="3"/>
      <c r="C108" s="14" t="s">
        <v>27</v>
      </c>
      <c r="D108" s="14"/>
      <c r="E108" s="16">
        <f>E97-E106</f>
        <v>0.95606900000000006</v>
      </c>
    </row>
    <row r="109" spans="1:5" x14ac:dyDescent="0.35">
      <c r="A109" s="3"/>
      <c r="B109" s="3"/>
      <c r="C109" s="14"/>
      <c r="D109" s="14"/>
      <c r="E109" s="16"/>
    </row>
    <row r="110" spans="1:5" x14ac:dyDescent="0.35">
      <c r="A110" s="10">
        <v>7</v>
      </c>
      <c r="B110" s="3"/>
      <c r="C110" s="14" t="s">
        <v>165</v>
      </c>
      <c r="D110" s="17"/>
      <c r="E110" s="18">
        <f>ROUND(E108*0.21,6)</f>
        <v>0.20077400000000001</v>
      </c>
    </row>
    <row r="111" spans="1:5" x14ac:dyDescent="0.35">
      <c r="A111" s="3"/>
      <c r="B111" s="3"/>
      <c r="C111" s="14"/>
      <c r="D111" s="14"/>
      <c r="E111" s="16"/>
    </row>
    <row r="112" spans="1:5" ht="15" thickBot="1" x14ac:dyDescent="0.4">
      <c r="A112" s="10">
        <v>8</v>
      </c>
      <c r="B112" s="3"/>
      <c r="C112" s="13" t="s">
        <v>29</v>
      </c>
      <c r="D112" s="14"/>
      <c r="E112" s="24">
        <f>ROUND(E108-E110,6)</f>
        <v>0.75529500000000005</v>
      </c>
    </row>
    <row r="113" spans="1:7" ht="15" thickTop="1" x14ac:dyDescent="0.35">
      <c r="A113" s="3"/>
      <c r="B113" s="3"/>
      <c r="C113" s="3"/>
      <c r="D113" s="3"/>
      <c r="E113" s="4"/>
    </row>
    <row r="114" spans="1:7" x14ac:dyDescent="0.35">
      <c r="A114" s="74">
        <v>9</v>
      </c>
      <c r="C114" t="s">
        <v>37</v>
      </c>
      <c r="E114">
        <f>ROUND(1/E108,6)</f>
        <v>1.0459499999999999</v>
      </c>
    </row>
    <row r="116" spans="1:7" x14ac:dyDescent="0.35">
      <c r="A116" s="65"/>
      <c r="G116" s="65"/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9">
    <mergeCell ref="A61:E61"/>
    <mergeCell ref="A62:E62"/>
    <mergeCell ref="A63:E63"/>
    <mergeCell ref="A32:E32"/>
    <mergeCell ref="A2:E2"/>
    <mergeCell ref="A3:E3"/>
    <mergeCell ref="A4:E4"/>
    <mergeCell ref="A31:E31"/>
    <mergeCell ref="A33:E33"/>
  </mergeCells>
  <printOptions horizontalCentered="1"/>
  <pageMargins left="0.7" right="0.7" top="0.55000000000000004" bottom="0.48" header="0.3" footer="0.3"/>
  <pageSetup scale="88" firstPageNumber="8" orientation="portrait" useFirstPageNumber="1" r:id="rId3"/>
  <headerFooter scaleWithDoc="0">
    <oddFooter>&amp;CATTACHMENT A&amp;RPage &amp;P of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38"/>
  <sheetViews>
    <sheetView tabSelected="1" topLeftCell="C1" zoomScaleNormal="100" workbookViewId="0">
      <selection activeCell="M35" sqref="M35:N35"/>
    </sheetView>
  </sheetViews>
  <sheetFormatPr defaultRowHeight="14.5" x14ac:dyDescent="0.35"/>
  <cols>
    <col min="1" max="1" width="2.1796875" customWidth="1"/>
    <col min="2" max="2" width="23.26953125" customWidth="1"/>
    <col min="3" max="3" width="8.453125" customWidth="1"/>
    <col min="4" max="4" width="13.7265625" customWidth="1"/>
    <col min="5" max="5" width="10.7265625" customWidth="1"/>
    <col min="6" max="6" width="13.1796875" customWidth="1"/>
    <col min="7" max="7" width="13.26953125" customWidth="1"/>
    <col min="8" max="8" width="14.26953125" customWidth="1"/>
    <col min="9" max="9" width="11.453125" customWidth="1"/>
    <col min="10" max="10" width="12.26953125" customWidth="1"/>
    <col min="11" max="11" width="1.7265625" customWidth="1"/>
    <col min="12" max="12" width="13.26953125" customWidth="1"/>
    <col min="13" max="13" width="7.7265625" customWidth="1"/>
  </cols>
  <sheetData>
    <row r="1" spans="2:13" x14ac:dyDescent="0.35">
      <c r="B1" s="43" t="s">
        <v>0</v>
      </c>
    </row>
    <row r="2" spans="2:13" x14ac:dyDescent="0.35">
      <c r="B2" s="43" t="s">
        <v>119</v>
      </c>
    </row>
    <row r="3" spans="2:13" x14ac:dyDescent="0.35">
      <c r="B3" s="43" t="s">
        <v>199</v>
      </c>
    </row>
    <row r="4" spans="2:13" x14ac:dyDescent="0.35">
      <c r="B4" s="43" t="s">
        <v>166</v>
      </c>
    </row>
    <row r="6" spans="2:13" x14ac:dyDescent="0.35">
      <c r="D6" s="99" t="s">
        <v>120</v>
      </c>
      <c r="E6" s="99" t="s">
        <v>121</v>
      </c>
      <c r="F6" s="99" t="s">
        <v>122</v>
      </c>
      <c r="G6" s="99" t="s">
        <v>123</v>
      </c>
      <c r="H6" s="99" t="s">
        <v>124</v>
      </c>
      <c r="I6" s="99" t="s">
        <v>124</v>
      </c>
      <c r="J6" s="99" t="s">
        <v>125</v>
      </c>
      <c r="L6" s="99" t="s">
        <v>122</v>
      </c>
    </row>
    <row r="7" spans="2:13" x14ac:dyDescent="0.35">
      <c r="B7" s="100" t="s">
        <v>126</v>
      </c>
      <c r="C7" s="100" t="s">
        <v>127</v>
      </c>
      <c r="D7" s="99" t="s">
        <v>128</v>
      </c>
      <c r="E7" s="99" t="s">
        <v>120</v>
      </c>
      <c r="F7" s="99" t="s">
        <v>120</v>
      </c>
      <c r="G7" s="99" t="s">
        <v>120</v>
      </c>
      <c r="H7" s="99" t="s">
        <v>120</v>
      </c>
      <c r="I7" s="99" t="s">
        <v>120</v>
      </c>
      <c r="J7" s="99" t="s">
        <v>129</v>
      </c>
      <c r="L7" s="99" t="s">
        <v>130</v>
      </c>
    </row>
    <row r="8" spans="2:13" x14ac:dyDescent="0.35">
      <c r="B8" s="101" t="s">
        <v>131</v>
      </c>
      <c r="C8" s="101" t="s">
        <v>132</v>
      </c>
      <c r="D8" s="102" t="s">
        <v>133</v>
      </c>
      <c r="E8" s="102" t="s">
        <v>129</v>
      </c>
      <c r="F8" s="102" t="s">
        <v>134</v>
      </c>
      <c r="G8" s="102" t="s">
        <v>164</v>
      </c>
      <c r="H8" s="102" t="s">
        <v>134</v>
      </c>
      <c r="I8" s="102" t="s">
        <v>129</v>
      </c>
      <c r="J8" s="103" t="s">
        <v>135</v>
      </c>
      <c r="L8" s="104" t="s">
        <v>134</v>
      </c>
    </row>
    <row r="9" spans="2:13" x14ac:dyDescent="0.35">
      <c r="B9" s="100" t="s">
        <v>136</v>
      </c>
      <c r="C9" s="100" t="s">
        <v>137</v>
      </c>
      <c r="D9" s="100" t="s">
        <v>138</v>
      </c>
      <c r="E9" s="100" t="s">
        <v>139</v>
      </c>
      <c r="F9" s="100" t="s">
        <v>140</v>
      </c>
      <c r="G9" s="100" t="s">
        <v>141</v>
      </c>
      <c r="H9" s="100" t="s">
        <v>142</v>
      </c>
      <c r="I9" s="100" t="s">
        <v>143</v>
      </c>
      <c r="J9" s="104" t="s">
        <v>144</v>
      </c>
    </row>
    <row r="10" spans="2:13" x14ac:dyDescent="0.35">
      <c r="B10" s="105"/>
      <c r="C10" s="100"/>
    </row>
    <row r="11" spans="2:13" x14ac:dyDescent="0.35">
      <c r="B11" s="126" t="s">
        <v>110</v>
      </c>
      <c r="C11" s="127" t="s">
        <v>145</v>
      </c>
      <c r="D11" s="122">
        <f>SUM('4 13 22 Forecast Usage by Sched'!Q8:Q19)</f>
        <v>2571886721.9994588</v>
      </c>
      <c r="E11" s="149">
        <f>'Earnings Test and 3% Test'!D45</f>
        <v>-2.3400000000000001E-3</v>
      </c>
      <c r="F11" s="128">
        <f>D11*E11</f>
        <v>-6018214.9294787338</v>
      </c>
      <c r="G11" s="129">
        <f>H11-F11</f>
        <v>-12627963.805017341</v>
      </c>
      <c r="H11" s="123">
        <f>D11*I11</f>
        <v>-18646178.734496076</v>
      </c>
      <c r="I11" s="109">
        <f>'Electric 2023 Rate Calc'!D30</f>
        <v>-7.2500000000000004E-3</v>
      </c>
      <c r="J11" s="130">
        <f>ROUND(I11-E11,5)</f>
        <v>-4.9100000000000003E-3</v>
      </c>
      <c r="K11" s="43"/>
      <c r="L11" s="154">
        <v>268876059.59909856</v>
      </c>
      <c r="M11" s="125">
        <f>G11/L11</f>
        <v>-4.6965742594732955E-2</v>
      </c>
    </row>
    <row r="12" spans="2:13" x14ac:dyDescent="0.35">
      <c r="B12" s="105"/>
      <c r="C12" s="100"/>
      <c r="E12" s="65"/>
      <c r="F12" s="44"/>
      <c r="G12" s="44"/>
      <c r="H12" s="37"/>
      <c r="I12" s="109"/>
      <c r="J12" s="110"/>
      <c r="L12" s="64"/>
      <c r="M12" s="35"/>
    </row>
    <row r="13" spans="2:13" x14ac:dyDescent="0.35">
      <c r="B13" s="105" t="s">
        <v>146</v>
      </c>
      <c r="C13" s="111" t="s">
        <v>171</v>
      </c>
      <c r="D13" s="107">
        <f>SUM('4 13 22 Forecast Usage by Sched'!E8:G19)</f>
        <v>680442153.9607265</v>
      </c>
      <c r="E13" s="149">
        <f>'Earnings Test and 3% Test'!E45</f>
        <v>1.32E-3</v>
      </c>
      <c r="F13" s="44">
        <f t="shared" ref="F13:F17" si="0">D13*E13</f>
        <v>898183.64322815894</v>
      </c>
      <c r="G13" s="44">
        <f>H13-F13</f>
        <v>-1496972.7387135983</v>
      </c>
      <c r="H13" s="37">
        <f>D13*I13</f>
        <v>-598789.09548543929</v>
      </c>
      <c r="I13" s="109">
        <f>'Electric 2023 Rate Calc'!J30</f>
        <v>-8.8000000000000003E-4</v>
      </c>
      <c r="J13" s="110">
        <f t="shared" ref="J13:J17" si="1">I13-E13</f>
        <v>-2.2000000000000001E-3</v>
      </c>
      <c r="L13" s="146">
        <v>86893012.439815804</v>
      </c>
      <c r="M13" s="35">
        <f t="shared" ref="M13:M25" si="2">G13/L13</f>
        <v>-1.7227768915831266E-2</v>
      </c>
    </row>
    <row r="14" spans="2:13" x14ac:dyDescent="0.35">
      <c r="B14" s="105"/>
      <c r="C14" s="100"/>
      <c r="E14" s="150"/>
      <c r="F14" s="44"/>
      <c r="G14" s="44"/>
      <c r="H14" s="37"/>
      <c r="I14" s="109"/>
      <c r="J14" s="110"/>
      <c r="L14" s="64"/>
      <c r="M14" s="35"/>
    </row>
    <row r="15" spans="2:13" x14ac:dyDescent="0.35">
      <c r="B15" s="105" t="s">
        <v>147</v>
      </c>
      <c r="C15" s="106" t="s">
        <v>172</v>
      </c>
      <c r="D15" s="107">
        <f>SUM('4 13 22 Forecast Usage by Sched'!H8:J19)</f>
        <v>1317995294.8441448</v>
      </c>
      <c r="E15" s="149">
        <f>'Earnings Test and 3% Test'!E45</f>
        <v>1.32E-3</v>
      </c>
      <c r="F15" s="44">
        <f t="shared" si="0"/>
        <v>1739753.7891942712</v>
      </c>
      <c r="G15" s="44">
        <f>H15-F15</f>
        <v>-2899589.6486571189</v>
      </c>
      <c r="H15" s="37">
        <f>D15*I15</f>
        <v>-1159835.8594628475</v>
      </c>
      <c r="I15" s="109">
        <f>I13</f>
        <v>-8.8000000000000003E-4</v>
      </c>
      <c r="J15" s="110">
        <f t="shared" si="1"/>
        <v>-2.2000000000000001E-3</v>
      </c>
      <c r="L15" s="146">
        <v>130351998.93760048</v>
      </c>
      <c r="M15" s="35">
        <f t="shared" si="2"/>
        <v>-2.2244305206590296E-2</v>
      </c>
    </row>
    <row r="16" spans="2:13" x14ac:dyDescent="0.35">
      <c r="B16" s="105"/>
      <c r="C16" s="100"/>
      <c r="E16" s="150"/>
      <c r="F16" s="44"/>
      <c r="G16" s="44"/>
      <c r="H16" s="37"/>
      <c r="I16" s="109"/>
      <c r="J16" s="110"/>
      <c r="L16" s="64"/>
      <c r="M16" s="35"/>
    </row>
    <row r="17" spans="2:13" x14ac:dyDescent="0.35">
      <c r="B17" s="105" t="s">
        <v>148</v>
      </c>
      <c r="C17" s="106" t="s">
        <v>149</v>
      </c>
      <c r="D17" s="107">
        <f>SUM('4 13 22 Forecast Usage by Sched'!L8:M19)</f>
        <v>147861822.80552691</v>
      </c>
      <c r="E17" s="149">
        <f>'Earnings Test and 3% Test'!E45</f>
        <v>1.32E-3</v>
      </c>
      <c r="F17" s="44">
        <f t="shared" si="0"/>
        <v>195177.60610329552</v>
      </c>
      <c r="G17" s="44">
        <f>H17-F17</f>
        <v>-325296.01017215918</v>
      </c>
      <c r="H17" s="37">
        <f>D17*I17</f>
        <v>-130118.40406886369</v>
      </c>
      <c r="I17" s="109">
        <f>I15</f>
        <v>-8.8000000000000003E-4</v>
      </c>
      <c r="J17" s="110">
        <f t="shared" si="1"/>
        <v>-2.2000000000000001E-3</v>
      </c>
      <c r="L17" s="146">
        <v>13148180.156151736</v>
      </c>
      <c r="M17" s="35">
        <f t="shared" si="2"/>
        <v>-2.4740763079669284E-2</v>
      </c>
    </row>
    <row r="18" spans="2:13" x14ac:dyDescent="0.35">
      <c r="B18" s="105"/>
      <c r="C18" s="106"/>
      <c r="D18" s="107"/>
      <c r="E18" s="108"/>
      <c r="F18" s="44"/>
      <c r="G18" s="44"/>
      <c r="H18" s="37"/>
      <c r="I18" s="109"/>
      <c r="J18" s="110"/>
      <c r="L18" s="64"/>
      <c r="M18" s="35"/>
    </row>
    <row r="19" spans="2:13" x14ac:dyDescent="0.35">
      <c r="B19" s="105" t="s">
        <v>150</v>
      </c>
      <c r="C19" s="106">
        <v>25</v>
      </c>
      <c r="D19" s="112" t="s">
        <v>151</v>
      </c>
      <c r="E19" s="108"/>
      <c r="F19" s="44"/>
      <c r="G19" s="44"/>
      <c r="H19" s="37"/>
      <c r="I19" s="109"/>
      <c r="J19" s="110"/>
      <c r="L19" s="146">
        <v>68026584.656304821</v>
      </c>
      <c r="M19" s="35">
        <v>0</v>
      </c>
    </row>
    <row r="20" spans="2:13" x14ac:dyDescent="0.35">
      <c r="B20" s="105"/>
      <c r="C20" s="106"/>
      <c r="D20" s="112"/>
      <c r="E20" s="108"/>
      <c r="F20" s="44"/>
      <c r="G20" s="115"/>
      <c r="H20" s="37"/>
      <c r="I20" s="109"/>
      <c r="J20" s="110"/>
      <c r="L20" s="64"/>
      <c r="M20" s="35"/>
    </row>
    <row r="21" spans="2:13" x14ac:dyDescent="0.35">
      <c r="B21" s="105" t="s">
        <v>152</v>
      </c>
      <c r="C21" s="106" t="s">
        <v>153</v>
      </c>
      <c r="D21" s="112" t="s">
        <v>151</v>
      </c>
      <c r="E21" s="108"/>
      <c r="F21" s="44"/>
      <c r="G21" s="44"/>
      <c r="H21" s="37"/>
      <c r="I21" s="109"/>
      <c r="J21" s="110"/>
      <c r="L21" s="146">
        <v>6832314.4199999999</v>
      </c>
      <c r="M21" s="35">
        <v>0</v>
      </c>
    </row>
    <row r="22" spans="2:13" x14ac:dyDescent="0.35">
      <c r="B22" s="105"/>
      <c r="C22" s="100"/>
      <c r="L22" s="44"/>
      <c r="M22" s="35"/>
    </row>
    <row r="23" spans="2:13" x14ac:dyDescent="0.35">
      <c r="B23" s="113" t="s">
        <v>56</v>
      </c>
      <c r="C23" s="100"/>
      <c r="D23" s="107">
        <f>SUM(D11:D17)</f>
        <v>4718185993.6098566</v>
      </c>
      <c r="F23" s="37">
        <f>SUM(F11:F17)</f>
        <v>-3185099.8909530081</v>
      </c>
      <c r="G23" s="37">
        <f>SUM(G11:G17)</f>
        <v>-17349822.202560216</v>
      </c>
      <c r="H23" s="37">
        <f>SUM(H11:H17)</f>
        <v>-20534922.093513224</v>
      </c>
      <c r="L23" s="145">
        <f>SUM(L11:L21)</f>
        <v>574128150.20897138</v>
      </c>
      <c r="M23" s="35">
        <f t="shared" si="2"/>
        <v>-3.0219424350199902E-2</v>
      </c>
    </row>
    <row r="25" spans="2:13" x14ac:dyDescent="0.35">
      <c r="B25" s="43" t="s">
        <v>154</v>
      </c>
      <c r="D25" s="122">
        <f>SUM(D13:D17)</f>
        <v>2146299271.6103983</v>
      </c>
      <c r="E25" s="43"/>
      <c r="F25" s="123">
        <f>SUM(F13:F17)</f>
        <v>2833115.0385257257</v>
      </c>
      <c r="G25" s="124">
        <f t="shared" ref="G25" si="3">SUM(G13:G17)</f>
        <v>-4721858.3975428762</v>
      </c>
      <c r="H25" s="123">
        <f>SUM(H13:H17)</f>
        <v>-1888743.3590171505</v>
      </c>
      <c r="I25" s="43"/>
      <c r="J25" s="43"/>
      <c r="K25" s="43"/>
      <c r="L25" s="155">
        <f>SUM(L13:L17)</f>
        <v>230393191.53356802</v>
      </c>
      <c r="M25" s="125">
        <f t="shared" si="2"/>
        <v>-2.049478270652328E-2</v>
      </c>
    </row>
    <row r="27" spans="2:13" x14ac:dyDescent="0.35">
      <c r="G27" s="35"/>
      <c r="H27" s="99" t="s">
        <v>155</v>
      </c>
      <c r="J27" s="163" t="s">
        <v>178</v>
      </c>
      <c r="K27" s="114"/>
    </row>
    <row r="28" spans="2:13" x14ac:dyDescent="0.35">
      <c r="G28" s="115"/>
      <c r="H28" s="116" t="s">
        <v>156</v>
      </c>
      <c r="I28" s="153">
        <v>9</v>
      </c>
      <c r="J28" s="117">
        <f>I28</f>
        <v>9</v>
      </c>
      <c r="K28" s="114"/>
      <c r="L28" s="94"/>
    </row>
    <row r="29" spans="2:13" x14ac:dyDescent="0.35">
      <c r="G29" s="35"/>
      <c r="H29" s="116" t="s">
        <v>157</v>
      </c>
      <c r="I29" s="147">
        <v>8.3549999999999999E-2</v>
      </c>
      <c r="J29" s="117">
        <f>ROUND(800*I29,2)</f>
        <v>66.84</v>
      </c>
    </row>
    <row r="30" spans="2:13" x14ac:dyDescent="0.35">
      <c r="H30" s="116" t="s">
        <v>158</v>
      </c>
      <c r="I30" s="147">
        <v>9.8360000000000003E-2</v>
      </c>
      <c r="J30" s="132">
        <f>ROUND(132*I30,2)</f>
        <v>12.98</v>
      </c>
    </row>
    <row r="31" spans="2:13" x14ac:dyDescent="0.35">
      <c r="H31" s="116" t="s">
        <v>159</v>
      </c>
      <c r="I31" s="147">
        <v>0.11656999999999999</v>
      </c>
      <c r="J31" s="117">
        <f>ROUND(0*I31,2)</f>
        <v>0</v>
      </c>
    </row>
    <row r="32" spans="2:13" x14ac:dyDescent="0.35">
      <c r="H32" s="99" t="s">
        <v>176</v>
      </c>
      <c r="J32" s="118">
        <f>SUM(J28:J31)</f>
        <v>88.820000000000007</v>
      </c>
    </row>
    <row r="33" spans="8:12" x14ac:dyDescent="0.35">
      <c r="H33" s="116" t="s">
        <v>160</v>
      </c>
      <c r="I33" s="110">
        <f>J11</f>
        <v>-4.9100000000000003E-3</v>
      </c>
      <c r="J33" s="132">
        <f>ROUND(I33*932,2)</f>
        <v>-4.58</v>
      </c>
    </row>
    <row r="34" spans="8:12" x14ac:dyDescent="0.35">
      <c r="H34" s="99" t="s">
        <v>161</v>
      </c>
      <c r="J34" s="118">
        <f>J32+J33</f>
        <v>84.240000000000009</v>
      </c>
      <c r="L34" s="114"/>
    </row>
    <row r="35" spans="8:12" x14ac:dyDescent="0.35">
      <c r="H35" s="99" t="s">
        <v>162</v>
      </c>
      <c r="J35" s="114">
        <f>J33/J32</f>
        <v>-5.1564962846205806E-2</v>
      </c>
    </row>
    <row r="36" spans="8:12" x14ac:dyDescent="0.35">
      <c r="J36" s="119"/>
    </row>
    <row r="37" spans="8:12" x14ac:dyDescent="0.35">
      <c r="J37" s="119"/>
    </row>
    <row r="38" spans="8:12" x14ac:dyDescent="0.35">
      <c r="J38" s="94"/>
      <c r="L38" s="35"/>
    </row>
  </sheetData>
  <printOptions horizontalCentered="1"/>
  <pageMargins left="0.7" right="0.7" top="0.55000000000000004" bottom="0.48" header="0.3" footer="0.3"/>
  <pageSetup scale="85" firstPageNumber="9" orientation="landscape" useFirstPageNumber="1" r:id="rId1"/>
  <headerFooter scaleWithDoc="0">
    <oddFooter>&amp;CATTACHMENT A&amp;RPage &amp;P of 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A1EB1CDC7E1848A657A7C761BC0895" ma:contentTypeVersion="24" ma:contentTypeDescription="" ma:contentTypeScope="" ma:versionID="b2bade8e5533389863e59456f5fe274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2023-05-31T07:00:00+00:00</OpenedDate>
    <SignificantOrder xmlns="dc463f71-b30c-4ab2-9473-d307f9d35888">false</SignificantOrder>
    <Date1 xmlns="dc463f71-b30c-4ab2-9473-d307f9d35888">2023-07-18T07:00:00+00:00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230408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3DE724-7FFA-4F0E-9F2A-A862048B89A5}"/>
</file>

<file path=customXml/itemProps2.xml><?xml version="1.0" encoding="utf-8"?>
<ds:datastoreItem xmlns:ds="http://schemas.openxmlformats.org/officeDocument/2006/customXml" ds:itemID="{EE56C810-11E3-49A9-8BB2-492AB22AA9F1}"/>
</file>

<file path=customXml/itemProps3.xml><?xml version="1.0" encoding="utf-8"?>
<ds:datastoreItem xmlns:ds="http://schemas.openxmlformats.org/officeDocument/2006/customXml" ds:itemID="{40344418-06CE-401A-AE27-7B23F0831661}"/>
</file>

<file path=customXml/itemProps4.xml><?xml version="1.0" encoding="utf-8"?>
<ds:datastoreItem xmlns:ds="http://schemas.openxmlformats.org/officeDocument/2006/customXml" ds:itemID="{F36891B2-ACCD-4040-887B-631BBBA647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4 13 22 Forecast Usage by Sched</vt:lpstr>
      <vt:lpstr>Electric 2023 Rate Calc</vt:lpstr>
      <vt:lpstr>Prior Year Amortization</vt:lpstr>
      <vt:lpstr>Earnings Test and 3% Test</vt:lpstr>
      <vt:lpstr>Conversion Factor</vt:lpstr>
      <vt:lpstr>Bill Impact</vt:lpstr>
      <vt:lpstr>'Conversion Factor'!Print_Area</vt:lpstr>
      <vt:lpstr>'Earnings Test and 3% Test'!Print_Area</vt:lpstr>
      <vt:lpstr>'Electric 2023 Rate Calc'!Print_Area</vt:lpstr>
      <vt:lpstr>'Prior Year Amortization'!Print_Area</vt:lpstr>
      <vt:lpstr>'Earnings Test and 3% Test'!Print_Titles</vt:lpstr>
      <vt:lpstr>'Electric 2023 Rate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2023-07-17T16:59:23Z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0x0101006E56B4D1795A2E4DB2F0B01679ED314A00BDA1EB1CDC7E1848A657A7C761BC0895</vt:lpwstr>
  </property>
  <property fmtid="{D5CDD505-2E9C-101B-9397-08002B2CF9AE}" pid="3" name="_docset_NoMedatataSyncRequired">
    <vt:lpwstr>False</vt:lpwstr>
  </property>
</Properties>
</file>