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parvinen\OneDrive - MDU Resources 1\Documents\"/>
    </mc:Choice>
  </mc:AlternateContent>
  <xr:revisionPtr revIDLastSave="0" documentId="13_ncr:1_{FD48B10B-7F56-4AB4-BF0B-5792BD5E33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2021 Rate Calculation" sheetId="3" r:id="rId1"/>
    <sheet name="2020 Rate Calculation" sheetId="6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3" l="1"/>
  <c r="F17" i="3"/>
  <c r="F16" i="3"/>
  <c r="F15" i="3"/>
  <c r="F14" i="3"/>
  <c r="F10" i="3"/>
  <c r="F13" i="3"/>
  <c r="F12" i="3"/>
  <c r="F11" i="3"/>
  <c r="F9" i="3"/>
  <c r="F7" i="3"/>
  <c r="F8" i="3"/>
  <c r="H18" i="3" l="1"/>
  <c r="H17" i="3"/>
  <c r="H16" i="3"/>
  <c r="H15" i="3"/>
  <c r="H14" i="3"/>
  <c r="H13" i="3"/>
  <c r="H12" i="3"/>
  <c r="H11" i="3"/>
  <c r="H10" i="3"/>
  <c r="H9" i="3"/>
  <c r="H8" i="3"/>
  <c r="H7" i="3"/>
  <c r="M31" i="6" l="1"/>
  <c r="L31" i="6"/>
  <c r="K31" i="6"/>
  <c r="J31" i="6"/>
  <c r="I31" i="6"/>
  <c r="H31" i="6"/>
  <c r="F31" i="6" s="1"/>
  <c r="F30" i="6"/>
  <c r="F18" i="6"/>
  <c r="F17" i="6"/>
  <c r="F16" i="6"/>
  <c r="F15" i="6"/>
  <c r="F14" i="6"/>
  <c r="F13" i="6"/>
  <c r="F12" i="6"/>
  <c r="F10" i="6"/>
  <c r="F9" i="6"/>
  <c r="F8" i="6"/>
  <c r="H25" i="6"/>
  <c r="F25" i="6" l="1"/>
  <c r="F34" i="6"/>
  <c r="H68" i="6" l="1"/>
  <c r="I68" i="6" s="1"/>
  <c r="H67" i="6"/>
  <c r="I67" i="6" s="1"/>
  <c r="I70" i="6" s="1"/>
  <c r="F38" i="6" s="1"/>
  <c r="F36" i="6"/>
  <c r="F37" i="6" s="1"/>
  <c r="F40" i="6" l="1"/>
  <c r="F39" i="6"/>
  <c r="F43" i="6"/>
  <c r="H36" i="6"/>
  <c r="H42" i="6" l="1"/>
  <c r="F46" i="6"/>
  <c r="H41" i="6"/>
  <c r="H46" i="6" l="1"/>
  <c r="F47" i="6"/>
  <c r="F49" i="6" s="1"/>
  <c r="F52" i="6" s="1"/>
  <c r="I57" i="6" l="1"/>
  <c r="I61" i="6" s="1"/>
  <c r="H57" i="6"/>
  <c r="H61" i="6" s="1"/>
  <c r="F55" i="6"/>
  <c r="H64" i="6" s="1"/>
  <c r="L57" i="6"/>
  <c r="L61" i="6" s="1"/>
  <c r="K57" i="6"/>
  <c r="K61" i="6" s="1"/>
  <c r="J57" i="6"/>
  <c r="J61" i="6" s="1"/>
  <c r="M57" i="6"/>
  <c r="M61" i="6" s="1"/>
  <c r="F26" i="3" l="1"/>
  <c r="L27" i="3" s="1"/>
  <c r="H21" i="3"/>
  <c r="H27" i="3" l="1"/>
  <c r="K27" i="3"/>
  <c r="M27" i="3"/>
  <c r="J27" i="3"/>
  <c r="I27" i="3"/>
  <c r="F27" i="3" l="1"/>
  <c r="F21" i="3" l="1"/>
  <c r="F30" i="3" l="1"/>
  <c r="F34" i="3" l="1"/>
  <c r="F32" i="3"/>
  <c r="F33" i="3" s="1"/>
  <c r="H32" i="3" l="1"/>
  <c r="H37" i="3" s="1"/>
  <c r="F35" i="3"/>
  <c r="F36" i="3" s="1"/>
  <c r="F39" i="3" s="1"/>
  <c r="H38" i="3" s="1"/>
  <c r="H42" i="3" l="1"/>
  <c r="F42" i="3"/>
  <c r="F43" i="3" l="1"/>
  <c r="F45" i="3" l="1"/>
  <c r="F48" i="3" s="1"/>
  <c r="J53" i="3" l="1"/>
  <c r="J57" i="3" s="1"/>
  <c r="I53" i="3"/>
  <c r="I57" i="3" s="1"/>
  <c r="F51" i="3"/>
  <c r="H60" i="3" s="1"/>
  <c r="L53" i="3"/>
  <c r="L57" i="3" s="1"/>
  <c r="K53" i="3"/>
  <c r="K57" i="3" s="1"/>
  <c r="M53" i="3"/>
  <c r="M57" i="3" s="1"/>
  <c r="H53" i="3"/>
  <c r="H57" i="3" s="1"/>
</calcChain>
</file>

<file path=xl/sharedStrings.xml><?xml version="1.0" encoding="utf-8"?>
<sst xmlns="http://schemas.openxmlformats.org/spreadsheetml/2006/main" count="224" uniqueCount="152">
  <si>
    <t>Project</t>
  </si>
  <si>
    <t>Estimtimated Cost</t>
  </si>
  <si>
    <t>Actual Cost</t>
  </si>
  <si>
    <t>Percentage</t>
  </si>
  <si>
    <t>Total Investment</t>
  </si>
  <si>
    <t>Deferred Tax</t>
  </si>
  <si>
    <t xml:space="preserve">   Accumulated Depr. (Avg)</t>
  </si>
  <si>
    <t xml:space="preserve">   Accum Def Tax (Avg)</t>
  </si>
  <si>
    <t>NOI</t>
  </si>
  <si>
    <t>FIT</t>
  </si>
  <si>
    <t>Total NOI</t>
  </si>
  <si>
    <t>Schedule</t>
  </si>
  <si>
    <t>Total Estimated Replacement Cost</t>
  </si>
  <si>
    <t>Allocation Rev Req to Schedules</t>
  </si>
  <si>
    <t>Percentage Increase in Revenue</t>
  </si>
  <si>
    <t>Revenue Requirement (Current Year Investment)</t>
  </si>
  <si>
    <t>Total Revenue Requirement</t>
  </si>
  <si>
    <t>Location</t>
  </si>
  <si>
    <t>Rate Charge</t>
  </si>
  <si>
    <t>BARE STEEL/PRE-CNG PIPE - IDENTIFIED HIGH (RED) RISK IN DIMP</t>
  </si>
  <si>
    <t>PRE-CNG PIPE - IDENTIFIED HIGH (RED) RISK IN DIMP</t>
  </si>
  <si>
    <t>BELLINGHAM</t>
  </si>
  <si>
    <t>EXPOSED PIPE SUSCEPTIBLE TO CORROSION RISK - MODERATE (ORANGE)</t>
  </si>
  <si>
    <t>LONGVIEW</t>
  </si>
  <si>
    <t>CRM KELSO GRADE ST BRIDGE RELOCATE</t>
  </si>
  <si>
    <t>Accum Tax depreciation</t>
  </si>
  <si>
    <t>TYPE OF PIPE TO BE REPLACED</t>
  </si>
  <si>
    <t xml:space="preserve"> </t>
  </si>
  <si>
    <t>Ln 20</t>
  </si>
  <si>
    <t>Ln 44 / 2</t>
  </si>
  <si>
    <t>Ln 20 - Ln 42 - Ln 45</t>
  </si>
  <si>
    <t>Sum Ln 50</t>
  </si>
  <si>
    <t>Ln 51 / Ln 52</t>
  </si>
  <si>
    <t>Ln 54 * Ln 39</t>
  </si>
  <si>
    <t>Ln 55 / Ln 56</t>
  </si>
  <si>
    <t>Increase in Revenue Requirement</t>
  </si>
  <si>
    <t>Actual costs thru</t>
  </si>
  <si>
    <t>Cascade Natural Gas Corp.</t>
  </si>
  <si>
    <t>Ln 54 / Ln 58</t>
  </si>
  <si>
    <t>Rate Base Allocation from UG-170929 Company COS</t>
  </si>
  <si>
    <t>Ln 41* .21</t>
  </si>
  <si>
    <t>(Ln 43 - Ln 41) * .21</t>
  </si>
  <si>
    <t>Ln 53</t>
  </si>
  <si>
    <t>((Ln 48 * Ln 49)  and  (Ln 41 - Ln 46-Ln 47)</t>
  </si>
  <si>
    <t>PRE-CNG PIPE</t>
  </si>
  <si>
    <t>HIGH-MODERATE RISK IN DIMP</t>
  </si>
  <si>
    <t>PRE-CNG PIPE - HIGH (RED) IN DIMP</t>
  </si>
  <si>
    <t>BARE STEEL/PRE-CNG PIPE IDENTIFIED HIGH (RED) RISK IN DIMP</t>
  </si>
  <si>
    <t>503</t>
  </si>
  <si>
    <t>505</t>
  </si>
  <si>
    <t>570</t>
  </si>
  <si>
    <t>CRM RPL; 12" STL HP, LONG/KELSO PH3</t>
  </si>
  <si>
    <t>WALLA WALLA</t>
  </si>
  <si>
    <t>CRM 2" STL BELLINGHAM</t>
  </si>
  <si>
    <t>BELLIGHAM</t>
  </si>
  <si>
    <t>EARLY VINTAGE STEEL PIPE PRE-1970</t>
  </si>
  <si>
    <t>thru October</t>
  </si>
  <si>
    <t>Rate Base</t>
  </si>
  <si>
    <t>2019 Commission Basis Total Revenue</t>
  </si>
  <si>
    <t>2020 Current Revenue Requirement</t>
  </si>
  <si>
    <t>Replacement Projects 1-1-20 to 10-31-20</t>
  </si>
  <si>
    <t>Less UG-190455 Updated Revenue Requirement (From UG-190210 Compliance filing)</t>
  </si>
  <si>
    <t xml:space="preserve">Weather Normalized 2019 Volumes </t>
  </si>
  <si>
    <t>CRM RPL; 3" HP; Zilliah; 873'</t>
  </si>
  <si>
    <t>CRM Longview</t>
  </si>
  <si>
    <t>Depreciation Expense  -  Rate 2.63%</t>
  </si>
  <si>
    <t>Ln 40* 2.63%</t>
  </si>
  <si>
    <t>Interest Coordination Adj (Rate Base x Weighted Cost of Debt (2.336%) x 21% FIT)</t>
  </si>
  <si>
    <t>Authorized ROR from UG-200568</t>
  </si>
  <si>
    <t>Conversion Factor in UG-200568</t>
  </si>
  <si>
    <t>September with</t>
  </si>
  <si>
    <t>Funding Projects</t>
  </si>
  <si>
    <t>C/M RPL; 2,6,8" HP; ANACORTES; PH3</t>
  </si>
  <si>
    <t>ANACORTES</t>
  </si>
  <si>
    <t>FP-316580</t>
  </si>
  <si>
    <t>CRM Pipe Replacement, Anacortes</t>
  </si>
  <si>
    <t>FP-316691,FP-317514, FP-317524, FP-318321,      FP-318325, FP-318186, FP-318187</t>
  </si>
  <si>
    <t>LONGVIEW/KELSO</t>
  </si>
  <si>
    <t>FP-316569</t>
  </si>
  <si>
    <t>CRM SHELTON PIPE REPLACEMENT</t>
  </si>
  <si>
    <t>SHELTON</t>
  </si>
  <si>
    <t>FP-317519, FP-317528</t>
  </si>
  <si>
    <t>ZILLIAH</t>
  </si>
  <si>
    <t>FP-316033</t>
  </si>
  <si>
    <t>KELSO</t>
  </si>
  <si>
    <t>FP-307212</t>
  </si>
  <si>
    <t>FP-317516, FP-317596, FP-317612, FP-317614</t>
  </si>
  <si>
    <t>C/M; 2,6,8" HP; ANACORTES; PH2</t>
  </si>
  <si>
    <t>FP-316579, FP-317529</t>
  </si>
  <si>
    <t>CRM KELSO PIPE REPLACEMENT</t>
  </si>
  <si>
    <t>FP-317518, FP-317527, FP-319198, FP-319199</t>
  </si>
  <si>
    <t>FP-317428</t>
  </si>
  <si>
    <t xml:space="preserve">C/M; 4" HP; OTHELL0; 9,801' </t>
  </si>
  <si>
    <t>OTHELLO</t>
  </si>
  <si>
    <t>FP-316034</t>
  </si>
  <si>
    <t>CRM RP; 8" BRIDGE XING, WALLA WALLA</t>
  </si>
  <si>
    <t>FP-317219</t>
  </si>
  <si>
    <t>Less UG-200493 Updated Revenue Requirement (From UG-200568 Compliance filing)</t>
  </si>
  <si>
    <t>2020 Commission Basis Total Revenue</t>
  </si>
  <si>
    <t xml:space="preserve">Weather Normalized 2020 Volumes </t>
  </si>
  <si>
    <t>CRM RPL; 12" STL HP, LONG/KELSO PH4</t>
  </si>
  <si>
    <t>C/M; RPL 8" MARCH POINT PH 2</t>
  </si>
  <si>
    <t>Replacement Projects 11-1-20 to 10-31-21</t>
  </si>
  <si>
    <t>C/M ANACORTES SSIP REPLACEMENT; PH8</t>
  </si>
  <si>
    <t>FP-318186-WO #274769, FP-318187-WO #274770</t>
  </si>
  <si>
    <t>C/M SHELTON SSIP REPLACEMENT; PH4</t>
  </si>
  <si>
    <t>FP-318186-WO #284792, FP-318187-WO #284794</t>
  </si>
  <si>
    <t>EVSP (PRE-CNG, FISH, PRE-1970)</t>
  </si>
  <si>
    <t>EVSP (PRE-CNG, PRE-1970)</t>
  </si>
  <si>
    <t>EVSP (PRE-CNG)</t>
  </si>
  <si>
    <t xml:space="preserve"> FP-318186, FP-318187 WO-TBD</t>
  </si>
  <si>
    <t>FP-316033-WO #282253, FP-319112-WO #282316</t>
  </si>
  <si>
    <t>Funding Projects-Work Orders</t>
  </si>
  <si>
    <t>EVSP (FISH)</t>
  </si>
  <si>
    <t>FP-316570-WO #276206</t>
  </si>
  <si>
    <t>12” LONGVIEW KELSO HP DISTRIBUTION EVSP REPLACEMENT, PHASE 5</t>
  </si>
  <si>
    <t>FP-316571-WO #284449</t>
  </si>
  <si>
    <t>FP-316923-WO #280309, FP-320458-WO #284821, FP-320485-WO #285218</t>
  </si>
  <si>
    <t>8” CENTRAL WHATCOM TRANSMISSION EVSP REPLACEMENT</t>
  </si>
  <si>
    <t>EVSP (PRE-1970)</t>
  </si>
  <si>
    <t>FP-316034-WO #266858</t>
  </si>
  <si>
    <t>FP-319503-WO #278431</t>
  </si>
  <si>
    <t>FP-319502-WO #278429</t>
  </si>
  <si>
    <t>FP-317519-WO #266054, FP-317528-WO #266102</t>
  </si>
  <si>
    <t>FP-316580-WO #283405, FP-320458-WO #284821</t>
  </si>
  <si>
    <t>C/M RPL; 6" HP; ANACORTES; PH3</t>
  </si>
  <si>
    <t>4” OTHELLO HP EVSP REPLACEMENT</t>
  </si>
  <si>
    <t>Tax Depreciation</t>
  </si>
  <si>
    <t>Year 1</t>
  </si>
  <si>
    <t>Year 2</t>
  </si>
  <si>
    <t>Accum</t>
  </si>
  <si>
    <t>GRC compliance</t>
  </si>
  <si>
    <t>Ln 41 / 2 + 1st yr depr</t>
  </si>
  <si>
    <t>See Calc Below</t>
  </si>
  <si>
    <t>2021 Current Revenue Requirement of 2020 Investments</t>
  </si>
  <si>
    <t>Anacortes/Shelton</t>
  </si>
  <si>
    <t>CRM, ANACORTES/SHELTON EVSP REPLACEMENT</t>
  </si>
  <si>
    <t>Ln 15</t>
  </si>
  <si>
    <t>Ln 24* 2.63%</t>
  </si>
  <si>
    <t>Ln 26 / 2</t>
  </si>
  <si>
    <t>Ln 24 *3.75%</t>
  </si>
  <si>
    <t>(Ln 28 - Ln 26) * .21</t>
  </si>
  <si>
    <t>Ln 29 / 2</t>
  </si>
  <si>
    <t>Ln 26* .21</t>
  </si>
  <si>
    <t>Ln 15 - Ln 30 - Ln 27</t>
  </si>
  <si>
    <t>Sum Ln 36</t>
  </si>
  <si>
    <t xml:space="preserve">((Ln 33 * Ln 34)  </t>
  </si>
  <si>
    <t>Ln 37 / Ln 38</t>
  </si>
  <si>
    <t>Ln 45 + Ln 46</t>
  </si>
  <si>
    <t>Ln 42 * Ln 21</t>
  </si>
  <si>
    <t>Ln 47 / Ln 48</t>
  </si>
  <si>
    <t>Ln 45 / Ln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</si>
</sst>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"/>
    <numFmt numFmtId="165" formatCode="[$-409]d\-mmm\-yy;@"/>
    <numFmt numFmtId="166" formatCode="&quot;$&quot;#,##0"/>
    <numFmt numFmtId="167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2">
    <xf numFmtId="0" fontId="0" fillId="0" borderId="0" xfId="0"/>
    <xf numFmtId="43" fontId="0" fillId="0" borderId="0" xfId="1" applyFont="1"/>
    <xf numFmtId="41" fontId="3" fillId="0" borderId="0" xfId="1" applyNumberFormat="1" applyFont="1" applyAlignment="1"/>
    <xf numFmtId="43" fontId="3" fillId="0" borderId="0" xfId="1" applyFont="1" applyAlignment="1">
      <alignment horizontal="right"/>
    </xf>
    <xf numFmtId="166" fontId="0" fillId="0" borderId="0" xfId="1" applyNumberFormat="1" applyFo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3" fontId="0" fillId="0" borderId="0" xfId="1" applyFont="1" applyBorder="1"/>
    <xf numFmtId="44" fontId="1" fillId="0" borderId="0" xfId="3" applyFont="1" applyBorder="1" applyAlignment="1">
      <alignment vertical="center"/>
    </xf>
    <xf numFmtId="0" fontId="0" fillId="0" borderId="0" xfId="0"/>
    <xf numFmtId="3" fontId="0" fillId="0" borderId="0" xfId="0" applyNumberFormat="1"/>
    <xf numFmtId="43" fontId="0" fillId="0" borderId="2" xfId="1" applyFont="1" applyBorder="1"/>
    <xf numFmtId="49" fontId="3" fillId="0" borderId="0" xfId="1" applyNumberFormat="1" applyFont="1" applyAlignment="1">
      <alignment horizontal="right"/>
    </xf>
    <xf numFmtId="0" fontId="3" fillId="0" borderId="0" xfId="0" applyFont="1"/>
    <xf numFmtId="39" fontId="0" fillId="0" borderId="0" xfId="0" applyNumberFormat="1" applyBorder="1" applyAlignment="1">
      <alignment vertical="center"/>
    </xf>
    <xf numFmtId="39" fontId="0" fillId="0" borderId="0" xfId="1" applyNumberFormat="1" applyFont="1" applyBorder="1"/>
    <xf numFmtId="5" fontId="0" fillId="0" borderId="2" xfId="1" applyNumberFormat="1" applyFont="1" applyBorder="1"/>
    <xf numFmtId="39" fontId="2" fillId="0" borderId="0" xfId="3" applyNumberFormat="1" applyFont="1" applyFill="1" applyBorder="1" applyAlignment="1">
      <alignment vertical="center"/>
    </xf>
    <xf numFmtId="39" fontId="0" fillId="0" borderId="0" xfId="3" applyNumberFormat="1" applyFont="1" applyFill="1" applyBorder="1" applyAlignment="1">
      <alignment vertical="center"/>
    </xf>
    <xf numFmtId="39" fontId="1" fillId="0" borderId="0" xfId="0" applyNumberFormat="1" applyFont="1" applyFill="1" applyBorder="1" applyAlignment="1">
      <alignment vertical="center"/>
    </xf>
    <xf numFmtId="166" fontId="0" fillId="0" borderId="2" xfId="1" applyNumberFormat="1" applyFont="1" applyFill="1" applyBorder="1"/>
    <xf numFmtId="166" fontId="0" fillId="0" borderId="0" xfId="1" applyNumberFormat="1" applyFont="1" applyFill="1"/>
    <xf numFmtId="43" fontId="1" fillId="0" borderId="0" xfId="1" applyFont="1" applyFill="1" applyAlignment="1">
      <alignment horizontal="center"/>
    </xf>
    <xf numFmtId="0" fontId="0" fillId="0" borderId="0" xfId="0" applyFont="1" applyFill="1" applyBorder="1" applyAlignment="1">
      <alignment vertical="center"/>
    </xf>
    <xf numFmtId="166" fontId="0" fillId="0" borderId="0" xfId="0" applyNumberFormat="1" applyFont="1" applyFill="1" applyBorder="1"/>
    <xf numFmtId="0" fontId="0" fillId="0" borderId="0" xfId="0" applyFill="1" applyBorder="1"/>
    <xf numFmtId="43" fontId="2" fillId="0" borderId="0" xfId="3" applyNumberFormat="1" applyFont="1" applyFill="1" applyBorder="1" applyAlignment="1">
      <alignment vertical="center"/>
    </xf>
    <xf numFmtId="0" fontId="0" fillId="0" borderId="0" xfId="0" applyFont="1" applyFill="1" applyBorder="1"/>
    <xf numFmtId="43" fontId="0" fillId="0" borderId="0" xfId="0" applyNumberFormat="1" applyFont="1" applyFill="1" applyBorder="1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0" fillId="0" borderId="0" xfId="0" applyFont="1" applyFill="1" applyBorder="1" applyAlignment="1">
      <alignment horizontal="center" vertical="center"/>
    </xf>
    <xf numFmtId="44" fontId="2" fillId="0" borderId="0" xfId="3" applyFont="1" applyFill="1" applyBorder="1" applyAlignment="1">
      <alignment vertical="center"/>
    </xf>
    <xf numFmtId="0" fontId="0" fillId="0" borderId="0" xfId="0" applyFont="1" applyFill="1"/>
    <xf numFmtId="166" fontId="2" fillId="0" borderId="0" xfId="1" applyNumberFormat="1" applyFont="1" applyFill="1"/>
    <xf numFmtId="37" fontId="0" fillId="0" borderId="0" xfId="0" applyNumberFormat="1" applyFill="1"/>
    <xf numFmtId="3" fontId="0" fillId="0" borderId="0" xfId="0" applyNumberFormat="1" applyFill="1"/>
    <xf numFmtId="10" fontId="0" fillId="0" borderId="0" xfId="0" applyNumberFormat="1" applyFill="1"/>
    <xf numFmtId="166" fontId="0" fillId="0" borderId="0" xfId="0" applyNumberFormat="1" applyFill="1"/>
    <xf numFmtId="166" fontId="1" fillId="0" borderId="0" xfId="0" applyNumberFormat="1" applyFont="1" applyFill="1" applyBorder="1"/>
    <xf numFmtId="166" fontId="1" fillId="0" borderId="1" xfId="0" applyNumberFormat="1" applyFont="1" applyFill="1" applyBorder="1"/>
    <xf numFmtId="164" fontId="0" fillId="0" borderId="0" xfId="0" applyNumberFormat="1" applyFill="1"/>
    <xf numFmtId="10" fontId="0" fillId="0" borderId="0" xfId="2" applyNumberFormat="1" applyFont="1" applyFill="1"/>
    <xf numFmtId="3" fontId="0" fillId="0" borderId="0" xfId="0" applyNumberFormat="1" applyFill="1" applyBorder="1"/>
    <xf numFmtId="43" fontId="0" fillId="0" borderId="0" xfId="1" applyFont="1" applyFill="1"/>
    <xf numFmtId="165" fontId="1" fillId="0" borderId="0" xfId="1" applyNumberFormat="1" applyFont="1" applyFill="1" applyAlignment="1">
      <alignment horizontal="center"/>
    </xf>
    <xf numFmtId="43" fontId="1" fillId="0" borderId="0" xfId="1" applyFont="1" applyFill="1"/>
    <xf numFmtId="0" fontId="2" fillId="0" borderId="0" xfId="3" applyNumberFormat="1" applyFont="1" applyFill="1" applyBorder="1" applyAlignment="1">
      <alignment horizontal="center" vertical="center"/>
    </xf>
    <xf numFmtId="0" fontId="2" fillId="0" borderId="0" xfId="3" applyNumberFormat="1" applyFont="1" applyFill="1" applyBorder="1" applyAlignment="1">
      <alignment horizontal="center" vertical="center" wrapText="1"/>
    </xf>
    <xf numFmtId="44" fontId="1" fillId="0" borderId="0" xfId="3" applyFont="1" applyFill="1" applyBorder="1" applyAlignment="1">
      <alignment vertical="center"/>
    </xf>
    <xf numFmtId="166" fontId="1" fillId="0" borderId="0" xfId="1" applyNumberFormat="1" applyFont="1" applyFill="1"/>
    <xf numFmtId="44" fontId="0" fillId="0" borderId="0" xfId="3" applyFont="1" applyFill="1" applyBorder="1" applyAlignment="1">
      <alignment vertical="center"/>
    </xf>
    <xf numFmtId="39" fontId="0" fillId="0" borderId="0" xfId="1" applyNumberFormat="1" applyFont="1" applyFill="1" applyBorder="1"/>
    <xf numFmtId="43" fontId="0" fillId="0" borderId="0" xfId="1" applyFont="1" applyFill="1" applyBorder="1"/>
    <xf numFmtId="43" fontId="0" fillId="0" borderId="2" xfId="1" applyFont="1" applyFill="1" applyBorder="1"/>
    <xf numFmtId="5" fontId="0" fillId="0" borderId="2" xfId="1" applyNumberFormat="1" applyFont="1" applyFill="1" applyBorder="1"/>
    <xf numFmtId="43" fontId="3" fillId="0" borderId="0" xfId="1" applyFont="1" applyFill="1" applyAlignment="1">
      <alignment horizontal="right"/>
    </xf>
    <xf numFmtId="49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Alignment="1"/>
    <xf numFmtId="43" fontId="0" fillId="0" borderId="0" xfId="1" applyFont="1" applyFill="1" applyAlignment="1">
      <alignment horizontal="left"/>
    </xf>
    <xf numFmtId="44" fontId="2" fillId="0" borderId="0" xfId="3" applyFont="1" applyFill="1" applyBorder="1" applyAlignment="1">
      <alignment horizontal="center" vertical="center"/>
    </xf>
    <xf numFmtId="44" fontId="2" fillId="0" borderId="0" xfId="3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1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3" fontId="0" fillId="0" borderId="0" xfId="0" applyNumberFormat="1" applyFill="1"/>
    <xf numFmtId="43" fontId="0" fillId="0" borderId="0" xfId="0" applyNumberFormat="1" applyFill="1" applyAlignment="1">
      <alignment vertical="center"/>
    </xf>
    <xf numFmtId="39" fontId="0" fillId="0" borderId="0" xfId="0" applyNumberFormat="1" applyFill="1"/>
    <xf numFmtId="39" fontId="1" fillId="0" borderId="0" xfId="0" applyNumberFormat="1" applyFont="1" applyFill="1"/>
    <xf numFmtId="0" fontId="1" fillId="0" borderId="0" xfId="0" applyFont="1" applyFill="1" applyAlignment="1">
      <alignment vertical="center"/>
    </xf>
    <xf numFmtId="39" fontId="1" fillId="0" borderId="0" xfId="0" applyNumberFormat="1" applyFont="1" applyFill="1" applyAlignment="1">
      <alignment vertical="center"/>
    </xf>
    <xf numFmtId="39" fontId="0" fillId="0" borderId="0" xfId="0" applyNumberFormat="1" applyFill="1" applyAlignment="1">
      <alignment vertical="center"/>
    </xf>
    <xf numFmtId="166" fontId="1" fillId="0" borderId="0" xfId="0" applyNumberFormat="1" applyFont="1" applyFill="1"/>
    <xf numFmtId="167" fontId="0" fillId="0" borderId="0" xfId="0" applyNumberFormat="1" applyFill="1"/>
    <xf numFmtId="0" fontId="0" fillId="0" borderId="0" xfId="0" applyFill="1" applyAlignment="1">
      <alignment horizontal="center"/>
    </xf>
    <xf numFmtId="166" fontId="1" fillId="2" borderId="0" xfId="0" applyNumberFormat="1" applyFont="1" applyFill="1" applyBorder="1"/>
    <xf numFmtId="43" fontId="2" fillId="2" borderId="0" xfId="3" applyNumberFormat="1" applyFont="1" applyFill="1" applyBorder="1" applyAlignment="1">
      <alignment vertical="center"/>
    </xf>
    <xf numFmtId="43" fontId="0" fillId="2" borderId="0" xfId="0" applyNumberFormat="1" applyFill="1"/>
    <xf numFmtId="164" fontId="0" fillId="2" borderId="0" xfId="0" applyNumberFormat="1" applyFill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1" defaultTableStyle="TableStyleMedium9" defaultPivotStyle="PivotStyleLight16">
    <tableStyle name="Invisible" pivot="0" table="0" count="0" xr9:uid="{743285E4-8FC0-49A8-ABBD-EDBFA616A9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Pipeline%20Replacement%20Plan%20-%20Washington\2021\E-Filed%2010.15.21\UG-210408-CNGC-CRM-Actual-Forecast-through-8-31-21-9-30-21-10-15-21(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WA%20Rate%20Case%202020%20UG-200568\Compliance%20Filing\E-Filed%205.21.21\UG-200568,%20CNG%20Schedule%20597%20WP,%2005.21.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G-210408-CNGC-CRM-Actual-Forecast-through-9-30-21-10-15-21(C)%20updated%20for%20rate%20case%20compliance%20fil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by Acct as of 12-2020"/>
      <sheetName val="CRM thru 09-2021 - Values Only"/>
      <sheetName val="WO 284449  09-21"/>
    </sheetNames>
    <sheetDataSet>
      <sheetData sheetId="0" refreshError="1"/>
      <sheetData sheetId="1" refreshError="1">
        <row r="9">
          <cell r="AJ9">
            <v>0</v>
          </cell>
        </row>
        <row r="10">
          <cell r="AJ10">
            <v>0</v>
          </cell>
        </row>
        <row r="11">
          <cell r="AJ11">
            <v>1133062.6499999999</v>
          </cell>
        </row>
        <row r="12">
          <cell r="AJ12">
            <v>198591.46000000002</v>
          </cell>
        </row>
        <row r="13">
          <cell r="AJ13">
            <v>1415353.85</v>
          </cell>
        </row>
        <row r="14">
          <cell r="AJ14">
            <v>86422.040000000008</v>
          </cell>
        </row>
        <row r="17">
          <cell r="AJ17">
            <v>-60958.040000000037</v>
          </cell>
        </row>
        <row r="21">
          <cell r="AJ21">
            <v>1388126.2199999997</v>
          </cell>
        </row>
        <row r="25">
          <cell r="AJ25">
            <v>118008.94</v>
          </cell>
        </row>
        <row r="27">
          <cell r="AJ27">
            <v>667492.08999999985</v>
          </cell>
        </row>
        <row r="29">
          <cell r="AJ29">
            <v>4652683.24</v>
          </cell>
        </row>
        <row r="31">
          <cell r="AJ31">
            <v>1366900.1400000001</v>
          </cell>
        </row>
        <row r="33">
          <cell r="AJ33">
            <v>2302597.27</v>
          </cell>
        </row>
        <row r="35">
          <cell r="AJ35">
            <v>609686.16</v>
          </cell>
        </row>
        <row r="37">
          <cell r="AJ37">
            <v>126008.16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Rate Calculation"/>
      <sheetName val="Monthly"/>
    </sheetNames>
    <sheetDataSet>
      <sheetData sheetId="0"/>
      <sheetData sheetId="1">
        <row r="10">
          <cell r="Z10">
            <v>3135079.27</v>
          </cell>
        </row>
        <row r="12">
          <cell r="Z12">
            <v>72404.789999999994</v>
          </cell>
        </row>
        <row r="14">
          <cell r="Z14">
            <v>167810.18</v>
          </cell>
        </row>
        <row r="16">
          <cell r="Z16">
            <v>-434.51999999999953</v>
          </cell>
        </row>
        <row r="20">
          <cell r="Z20">
            <v>1131792.42</v>
          </cell>
        </row>
        <row r="31">
          <cell r="Z31">
            <v>7631034.1700000009</v>
          </cell>
        </row>
        <row r="41">
          <cell r="Z41">
            <v>341064.43999999994</v>
          </cell>
        </row>
        <row r="50">
          <cell r="Z50">
            <v>121341.01999999997</v>
          </cell>
        </row>
        <row r="56">
          <cell r="Z56">
            <v>46047.479999999996</v>
          </cell>
        </row>
        <row r="60">
          <cell r="Z60">
            <v>38830.54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by Acct as of 12-2020"/>
      <sheetName val="CRM thru 09-2021 - Values Only"/>
      <sheetName val="WO 284449  09-21"/>
    </sheetNames>
    <sheetDataSet>
      <sheetData sheetId="0"/>
      <sheetData sheetId="1">
        <row r="9">
          <cell r="AK9">
            <v>593203.74</v>
          </cell>
        </row>
        <row r="10">
          <cell r="AK10">
            <v>511660.74</v>
          </cell>
        </row>
        <row r="11">
          <cell r="AK11">
            <v>416831.77</v>
          </cell>
        </row>
        <row r="12">
          <cell r="AK12">
            <v>199699.38</v>
          </cell>
        </row>
        <row r="13">
          <cell r="AK13">
            <v>1415353.85</v>
          </cell>
        </row>
        <row r="14">
          <cell r="AK14">
            <v>86422.040000000008</v>
          </cell>
        </row>
        <row r="17">
          <cell r="AK17">
            <v>-7891.41</v>
          </cell>
        </row>
        <row r="21">
          <cell r="AK21">
            <v>838545.75000000012</v>
          </cell>
        </row>
        <row r="25">
          <cell r="AK25">
            <v>7088.5300000000007</v>
          </cell>
        </row>
        <row r="27">
          <cell r="AK27">
            <v>240391.47</v>
          </cell>
        </row>
        <row r="29">
          <cell r="AK29">
            <v>99274.859999999986</v>
          </cell>
        </row>
        <row r="31">
          <cell r="AK31">
            <v>2074013.9000000001</v>
          </cell>
        </row>
        <row r="33">
          <cell r="AK33">
            <v>2073928.19</v>
          </cell>
        </row>
        <row r="35">
          <cell r="AK35">
            <v>419004.75</v>
          </cell>
        </row>
        <row r="37">
          <cell r="AK37">
            <v>59490.9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tabSelected="1" topLeftCell="A31" zoomScaleNormal="100" workbookViewId="0">
      <selection activeCell="H57" sqref="H57:M57"/>
    </sheetView>
  </sheetViews>
  <sheetFormatPr defaultRowHeight="15" x14ac:dyDescent="0.25"/>
  <cols>
    <col min="1" max="1" width="3" bestFit="1" customWidth="1"/>
    <col min="2" max="2" width="2.7109375" style="9" customWidth="1"/>
    <col min="3" max="3" width="75.42578125" bestFit="1" customWidth="1"/>
    <col min="4" max="4" width="19.7109375" bestFit="1" customWidth="1"/>
    <col min="5" max="5" width="43.28515625" customWidth="1"/>
    <col min="6" max="6" width="18.85546875" bestFit="1" customWidth="1"/>
    <col min="8" max="8" width="18.7109375" bestFit="1" customWidth="1"/>
    <col min="9" max="9" width="12.42578125" customWidth="1"/>
    <col min="10" max="10" width="12.140625" customWidth="1"/>
    <col min="11" max="12" width="12" customWidth="1"/>
    <col min="13" max="13" width="13.42578125" bestFit="1" customWidth="1"/>
    <col min="14" max="14" width="11.7109375" bestFit="1" customWidth="1"/>
    <col min="16" max="16" width="11.7109375" bestFit="1" customWidth="1"/>
  </cols>
  <sheetData>
    <row r="1" spans="1:16" ht="18.75" x14ac:dyDescent="0.3">
      <c r="A1" s="9"/>
      <c r="C1" s="13" t="s">
        <v>37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6" s="29" customFormat="1" x14ac:dyDescent="0.25">
      <c r="C2" s="29" t="s">
        <v>102</v>
      </c>
      <c r="F2" s="63" t="s">
        <v>36</v>
      </c>
    </row>
    <row r="3" spans="1:16" s="29" customFormat="1" x14ac:dyDescent="0.25">
      <c r="F3" s="22" t="s">
        <v>70</v>
      </c>
    </row>
    <row r="4" spans="1:16" s="29" customFormat="1" x14ac:dyDescent="0.25">
      <c r="C4" s="45"/>
      <c r="D4" s="45"/>
      <c r="E4" s="45"/>
      <c r="F4" s="22" t="s">
        <v>1</v>
      </c>
      <c r="G4" s="45"/>
      <c r="H4" s="46">
        <v>44469</v>
      </c>
      <c r="I4" s="45"/>
      <c r="J4" s="45"/>
      <c r="K4" s="45"/>
      <c r="L4" s="45"/>
      <c r="M4" s="45"/>
      <c r="N4" s="45"/>
      <c r="O4" s="45"/>
    </row>
    <row r="5" spans="1:16" s="29" customFormat="1" x14ac:dyDescent="0.25">
      <c r="C5" s="22" t="s">
        <v>0</v>
      </c>
      <c r="D5" s="22" t="s">
        <v>17</v>
      </c>
      <c r="E5" s="22" t="s">
        <v>112</v>
      </c>
      <c r="F5" s="22" t="s">
        <v>56</v>
      </c>
      <c r="G5" s="45"/>
      <c r="H5" s="22" t="s">
        <v>2</v>
      </c>
      <c r="I5" s="45"/>
      <c r="J5" s="47" t="s">
        <v>26</v>
      </c>
      <c r="K5" s="45"/>
      <c r="L5" s="45"/>
      <c r="M5" s="45"/>
      <c r="N5" s="47"/>
      <c r="O5" s="45"/>
    </row>
    <row r="6" spans="1:16" s="29" customFormat="1" x14ac:dyDescent="0.25">
      <c r="C6" s="22"/>
      <c r="D6" s="22"/>
      <c r="E6" s="45"/>
      <c r="F6" s="47"/>
      <c r="G6" s="45"/>
      <c r="H6" s="47"/>
      <c r="I6" s="45"/>
      <c r="J6" s="45"/>
      <c r="K6" s="45"/>
      <c r="L6" s="45"/>
      <c r="M6" s="45"/>
      <c r="N6" s="45"/>
      <c r="O6" s="45"/>
    </row>
    <row r="7" spans="1:16" s="29" customFormat="1" x14ac:dyDescent="0.25">
      <c r="A7" s="29">
        <v>1</v>
      </c>
      <c r="C7" s="25" t="s">
        <v>103</v>
      </c>
      <c r="D7" s="32" t="s">
        <v>73</v>
      </c>
      <c r="E7" s="61" t="s">
        <v>104</v>
      </c>
      <c r="F7" s="79">
        <f>+'[3]CRM thru 09-2021 - Values Only'!$AK$11+'[3]CRM thru 09-2021 - Values Only'!$AK$12</f>
        <v>616531.15</v>
      </c>
      <c r="G7" s="27"/>
      <c r="H7" s="28">
        <f>+'[1]CRM thru 09-2021 - Values Only'!$AJ$11+'[1]CRM thru 09-2021 - Values Only'!$AJ$12</f>
        <v>1331654.1099999999</v>
      </c>
      <c r="I7" s="23" t="s">
        <v>107</v>
      </c>
      <c r="J7" s="34"/>
      <c r="K7" s="34"/>
      <c r="L7" s="35"/>
      <c r="M7" s="23"/>
      <c r="N7" s="30"/>
      <c r="O7" s="30"/>
      <c r="P7" s="30"/>
    </row>
    <row r="8" spans="1:16" s="29" customFormat="1" x14ac:dyDescent="0.25">
      <c r="A8" s="29">
        <v>2</v>
      </c>
      <c r="C8" s="25" t="s">
        <v>105</v>
      </c>
      <c r="D8" s="32" t="s">
        <v>80</v>
      </c>
      <c r="E8" s="61" t="s">
        <v>106</v>
      </c>
      <c r="F8" s="26">
        <f>+'[3]CRM thru 09-2021 - Values Only'!$AK$13+'[3]CRM thru 09-2021 - Values Only'!$AK$14</f>
        <v>1501775.8900000001</v>
      </c>
      <c r="G8" s="27"/>
      <c r="H8" s="28">
        <f>+'[1]CRM thru 09-2021 - Values Only'!$AJ$13+'[1]CRM thru 09-2021 - Values Only'!$AJ$14</f>
        <v>1501775.8900000001</v>
      </c>
      <c r="I8" s="23" t="s">
        <v>108</v>
      </c>
      <c r="J8" s="34"/>
      <c r="K8" s="34"/>
      <c r="L8" s="35"/>
      <c r="M8" s="23"/>
      <c r="N8" s="30"/>
      <c r="O8" s="30"/>
      <c r="P8" s="30"/>
    </row>
    <row r="9" spans="1:16" s="29" customFormat="1" x14ac:dyDescent="0.25">
      <c r="A9" s="29">
        <v>3</v>
      </c>
      <c r="C9" s="25" t="s">
        <v>136</v>
      </c>
      <c r="D9" s="32" t="s">
        <v>135</v>
      </c>
      <c r="E9" s="62" t="s">
        <v>110</v>
      </c>
      <c r="F9" s="79">
        <f>+'[3]CRM thru 09-2021 - Values Only'!$AK$9+'[3]CRM thru 09-2021 - Values Only'!$AK$10</f>
        <v>1104864.48</v>
      </c>
      <c r="G9" s="27"/>
      <c r="H9" s="28">
        <f>+'[1]CRM thru 09-2021 - Values Only'!$AJ$9+'[1]CRM thru 09-2021 - Values Only'!$AJ$10</f>
        <v>0</v>
      </c>
      <c r="I9" s="23" t="s">
        <v>109</v>
      </c>
      <c r="J9" s="34"/>
      <c r="K9" s="34"/>
      <c r="L9" s="35"/>
      <c r="M9" s="23"/>
      <c r="N9" s="30"/>
      <c r="O9" s="30"/>
      <c r="P9" s="30"/>
    </row>
    <row r="10" spans="1:16" s="29" customFormat="1" x14ac:dyDescent="0.25">
      <c r="A10" s="29">
        <v>4</v>
      </c>
      <c r="C10" s="23" t="s">
        <v>100</v>
      </c>
      <c r="D10" s="32" t="s">
        <v>77</v>
      </c>
      <c r="E10" s="61" t="s">
        <v>114</v>
      </c>
      <c r="F10" s="79">
        <f>+'[3]CRM thru 09-2021 - Values Only'!$AK$29</f>
        <v>99274.859999999986</v>
      </c>
      <c r="G10" s="27"/>
      <c r="H10" s="28">
        <f>+'[1]CRM thru 09-2021 - Values Only'!$AJ$29</f>
        <v>4652683.24</v>
      </c>
      <c r="I10" s="23" t="s">
        <v>109</v>
      </c>
      <c r="J10" s="34"/>
      <c r="K10" s="34"/>
      <c r="L10" s="35"/>
      <c r="M10" s="23"/>
      <c r="N10" s="30"/>
      <c r="O10" s="30"/>
      <c r="P10" s="30"/>
    </row>
    <row r="11" spans="1:16" s="29" customFormat="1" x14ac:dyDescent="0.25">
      <c r="A11" s="29">
        <v>5</v>
      </c>
      <c r="C11" s="23" t="s">
        <v>79</v>
      </c>
      <c r="D11" s="32" t="s">
        <v>80</v>
      </c>
      <c r="E11" s="61" t="s">
        <v>123</v>
      </c>
      <c r="F11" s="79">
        <f>+'[3]CRM thru 09-2021 - Values Only'!$AK$25</f>
        <v>7088.5300000000007</v>
      </c>
      <c r="G11" s="27"/>
      <c r="H11" s="28">
        <f>+'[1]CRM thru 09-2021 - Values Only'!$AJ$25</f>
        <v>118008.94</v>
      </c>
      <c r="I11" s="23" t="s">
        <v>109</v>
      </c>
      <c r="J11" s="34"/>
      <c r="K11" s="34"/>
      <c r="L11" s="35"/>
      <c r="M11" s="23"/>
      <c r="N11" s="30"/>
      <c r="O11" s="30"/>
      <c r="P11" s="30"/>
    </row>
    <row r="12" spans="1:16" s="29" customFormat="1" x14ac:dyDescent="0.25">
      <c r="A12" s="31">
        <v>6</v>
      </c>
      <c r="B12" s="31"/>
      <c r="C12" s="23" t="s">
        <v>63</v>
      </c>
      <c r="D12" s="32" t="s">
        <v>82</v>
      </c>
      <c r="E12" s="61" t="s">
        <v>111</v>
      </c>
      <c r="F12" s="79">
        <f>+'[3]CRM thru 09-2021 - Values Only'!$AK$27</f>
        <v>240391.47</v>
      </c>
      <c r="G12" s="27"/>
      <c r="H12" s="28">
        <f>+'[1]CRM thru 09-2021 - Values Only'!$AJ$27</f>
        <v>667492.08999999985</v>
      </c>
      <c r="I12" s="23" t="s">
        <v>113</v>
      </c>
      <c r="J12" s="34"/>
      <c r="K12" s="34"/>
      <c r="L12" s="35"/>
      <c r="M12" s="23"/>
      <c r="N12" s="30"/>
      <c r="O12" s="30"/>
      <c r="P12" s="30"/>
    </row>
    <row r="13" spans="1:16" s="29" customFormat="1" x14ac:dyDescent="0.25">
      <c r="A13" s="31">
        <v>7</v>
      </c>
      <c r="B13" s="31"/>
      <c r="C13" s="23" t="s">
        <v>115</v>
      </c>
      <c r="D13" s="32" t="s">
        <v>23</v>
      </c>
      <c r="E13" s="61" t="s">
        <v>116</v>
      </c>
      <c r="F13" s="26">
        <f>+'[3]CRM thru 09-2021 - Values Only'!$AK$31</f>
        <v>2074013.9000000001</v>
      </c>
      <c r="G13" s="27"/>
      <c r="H13" s="28">
        <f>+'[1]CRM thru 09-2021 - Values Only'!$AJ$31</f>
        <v>1366900.1400000001</v>
      </c>
      <c r="I13" s="23" t="s">
        <v>109</v>
      </c>
      <c r="J13" s="34"/>
      <c r="K13" s="34"/>
      <c r="L13" s="35"/>
      <c r="M13" s="23"/>
      <c r="N13" s="30"/>
      <c r="O13" s="30"/>
      <c r="P13" s="30"/>
    </row>
    <row r="14" spans="1:16" s="29" customFormat="1" ht="30" x14ac:dyDescent="0.25">
      <c r="A14" s="29">
        <v>8</v>
      </c>
      <c r="C14" s="23" t="s">
        <v>101</v>
      </c>
      <c r="D14" s="32" t="s">
        <v>73</v>
      </c>
      <c r="E14" s="62" t="s">
        <v>117</v>
      </c>
      <c r="F14" s="79">
        <f>+'[3]CRM thru 09-2021 - Values Only'!$AK$33</f>
        <v>2073928.19</v>
      </c>
      <c r="G14" s="27"/>
      <c r="H14" s="28">
        <f>+'[1]CRM thru 09-2021 - Values Only'!$AJ$33</f>
        <v>2302597.27</v>
      </c>
      <c r="I14" s="23" t="s">
        <v>119</v>
      </c>
      <c r="J14" s="34"/>
      <c r="K14" s="34"/>
      <c r="L14" s="35"/>
      <c r="M14" s="23"/>
      <c r="N14" s="30"/>
      <c r="O14" s="30"/>
      <c r="P14" s="30"/>
    </row>
    <row r="15" spans="1:16" s="29" customFormat="1" x14ac:dyDescent="0.25">
      <c r="A15" s="29">
        <v>9</v>
      </c>
      <c r="C15" s="23" t="s">
        <v>126</v>
      </c>
      <c r="D15" s="32" t="s">
        <v>93</v>
      </c>
      <c r="E15" s="61" t="s">
        <v>120</v>
      </c>
      <c r="F15" s="79">
        <f>+'[3]CRM thru 09-2021 - Values Only'!$AK$17</f>
        <v>-7891.41</v>
      </c>
      <c r="G15" s="27"/>
      <c r="H15" s="28">
        <f>+'[1]CRM thru 09-2021 - Values Only'!$AJ$17</f>
        <v>-60958.040000000037</v>
      </c>
      <c r="I15" s="23" t="s">
        <v>119</v>
      </c>
      <c r="J15" s="34"/>
      <c r="K15" s="34"/>
      <c r="L15" s="35"/>
      <c r="M15" s="23"/>
      <c r="N15" s="30"/>
      <c r="O15" s="30"/>
      <c r="P15" s="30"/>
    </row>
    <row r="16" spans="1:16" s="29" customFormat="1" x14ac:dyDescent="0.25">
      <c r="A16" s="29">
        <v>10</v>
      </c>
      <c r="C16" s="25" t="s">
        <v>118</v>
      </c>
      <c r="D16" s="32" t="s">
        <v>21</v>
      </c>
      <c r="E16" s="61" t="s">
        <v>122</v>
      </c>
      <c r="F16" s="79">
        <f>+'[3]CRM thru 09-2021 - Values Only'!$AK$35</f>
        <v>419004.75</v>
      </c>
      <c r="G16" s="27"/>
      <c r="H16" s="28">
        <f>+'[1]CRM thru 09-2021 - Values Only'!$AJ$35</f>
        <v>609686.16</v>
      </c>
      <c r="I16" s="23" t="s">
        <v>119</v>
      </c>
      <c r="J16" s="34"/>
      <c r="K16" s="34"/>
      <c r="L16" s="35"/>
      <c r="M16" s="23"/>
      <c r="N16" s="30"/>
      <c r="O16" s="30"/>
      <c r="P16" s="30"/>
    </row>
    <row r="17" spans="1:16" s="29" customFormat="1" x14ac:dyDescent="0.25">
      <c r="A17" s="29">
        <v>11</v>
      </c>
      <c r="C17" s="25" t="s">
        <v>118</v>
      </c>
      <c r="D17" s="32" t="s">
        <v>21</v>
      </c>
      <c r="E17" s="61" t="s">
        <v>121</v>
      </c>
      <c r="F17" s="79">
        <f>+'[3]CRM thru 09-2021 - Values Only'!$AK$37</f>
        <v>59490.9</v>
      </c>
      <c r="G17" s="27"/>
      <c r="H17" s="28">
        <f>+'[1]CRM thru 09-2021 - Values Only'!$AJ$37</f>
        <v>126008.16</v>
      </c>
      <c r="I17" s="23" t="s">
        <v>119</v>
      </c>
      <c r="J17" s="34"/>
      <c r="K17" s="34"/>
      <c r="L17" s="35"/>
      <c r="M17" s="23"/>
      <c r="N17" s="30"/>
      <c r="O17" s="30"/>
      <c r="P17" s="30"/>
    </row>
    <row r="18" spans="1:16" s="29" customFormat="1" x14ac:dyDescent="0.25">
      <c r="A18" s="29">
        <v>12</v>
      </c>
      <c r="C18" s="29" t="s">
        <v>125</v>
      </c>
      <c r="D18" s="32" t="s">
        <v>73</v>
      </c>
      <c r="E18" s="29" t="s">
        <v>124</v>
      </c>
      <c r="F18" s="80">
        <f>+'[3]CRM thru 09-2021 - Values Only'!$AK$21</f>
        <v>838545.75000000012</v>
      </c>
      <c r="H18" s="68">
        <f>+'[1]CRM thru 09-2021 - Values Only'!$AJ$21</f>
        <v>1388126.2199999997</v>
      </c>
      <c r="I18" s="23" t="s">
        <v>113</v>
      </c>
      <c r="J18" s="34"/>
      <c r="K18" s="34"/>
      <c r="L18" s="35"/>
      <c r="M18" s="23"/>
      <c r="N18" s="30"/>
      <c r="O18" s="30"/>
      <c r="P18" s="30"/>
    </row>
    <row r="19" spans="1:16" s="29" customFormat="1" x14ac:dyDescent="0.25">
      <c r="A19" s="29">
        <v>13</v>
      </c>
      <c r="C19" s="23"/>
      <c r="D19" s="32"/>
      <c r="E19" s="61"/>
      <c r="F19" s="26"/>
      <c r="G19" s="27"/>
      <c r="H19" s="28"/>
      <c r="I19" s="23"/>
      <c r="J19" s="34"/>
      <c r="K19" s="34"/>
      <c r="L19" s="35"/>
      <c r="M19" s="23"/>
      <c r="N19" s="30"/>
      <c r="O19" s="30"/>
      <c r="P19" s="30"/>
    </row>
    <row r="20" spans="1:16" ht="15.75" thickBot="1" x14ac:dyDescent="0.3">
      <c r="A20" s="29">
        <v>14</v>
      </c>
      <c r="C20" s="5"/>
      <c r="D20" s="6"/>
      <c r="E20" s="8"/>
      <c r="F20" s="19"/>
      <c r="G20" s="14"/>
      <c r="H20" s="15"/>
      <c r="I20" s="7"/>
      <c r="J20" s="7"/>
      <c r="K20" s="7"/>
      <c r="L20" s="1"/>
      <c r="M20" s="1"/>
      <c r="N20" s="1"/>
      <c r="O20" s="1"/>
    </row>
    <row r="21" spans="1:16" ht="15.75" thickTop="1" x14ac:dyDescent="0.25">
      <c r="A21" s="29">
        <v>15</v>
      </c>
      <c r="C21" s="1" t="s">
        <v>12</v>
      </c>
      <c r="D21" s="1"/>
      <c r="E21" s="1"/>
      <c r="F21" s="20">
        <f>SUM(F7:F20)</f>
        <v>9027018.4600000009</v>
      </c>
      <c r="G21" s="11"/>
      <c r="H21" s="16">
        <f>SUM(H7:H20)</f>
        <v>14003974.18</v>
      </c>
      <c r="I21" s="4"/>
      <c r="J21" s="1"/>
      <c r="K21" s="1"/>
      <c r="L21" s="1"/>
      <c r="M21" s="1"/>
      <c r="N21" s="1"/>
      <c r="O21" s="1"/>
    </row>
    <row r="22" spans="1:16" x14ac:dyDescent="0.25">
      <c r="A22" s="29">
        <v>16</v>
      </c>
      <c r="C22" s="1"/>
      <c r="D22" s="1"/>
      <c r="E22" s="1"/>
      <c r="F22" s="21"/>
      <c r="G22" s="1"/>
      <c r="H22" s="4"/>
      <c r="I22" s="1"/>
      <c r="J22" s="1"/>
      <c r="K22" s="1"/>
      <c r="L22" s="1"/>
      <c r="M22" s="1"/>
      <c r="N22" s="1"/>
      <c r="O22" s="1"/>
    </row>
    <row r="23" spans="1:16" ht="18.75" x14ac:dyDescent="0.3">
      <c r="A23" s="29">
        <v>17</v>
      </c>
      <c r="C23" s="1"/>
      <c r="D23" s="1"/>
      <c r="E23" s="1"/>
      <c r="F23" s="1"/>
      <c r="G23" s="1"/>
      <c r="H23" s="3" t="s">
        <v>11</v>
      </c>
      <c r="I23" s="3" t="s">
        <v>11</v>
      </c>
      <c r="J23" s="3" t="s">
        <v>11</v>
      </c>
      <c r="K23" s="3" t="s">
        <v>11</v>
      </c>
      <c r="L23" s="3" t="s">
        <v>11</v>
      </c>
      <c r="M23" s="3" t="s">
        <v>11</v>
      </c>
      <c r="N23" s="3"/>
      <c r="O23" s="3"/>
    </row>
    <row r="24" spans="1:16" ht="18.75" x14ac:dyDescent="0.3">
      <c r="A24" s="29">
        <v>18</v>
      </c>
      <c r="C24" s="1"/>
      <c r="D24" s="1"/>
      <c r="E24" s="1"/>
      <c r="F24" s="1"/>
      <c r="G24" s="1"/>
      <c r="H24" s="12" t="s">
        <v>48</v>
      </c>
      <c r="I24" s="2">
        <v>504</v>
      </c>
      <c r="J24" s="12" t="s">
        <v>49</v>
      </c>
      <c r="K24" s="2">
        <v>511</v>
      </c>
      <c r="L24" s="12" t="s">
        <v>50</v>
      </c>
      <c r="M24" s="2">
        <v>663</v>
      </c>
      <c r="N24" s="2"/>
      <c r="O24" s="2"/>
    </row>
    <row r="25" spans="1:16" x14ac:dyDescent="0.25">
      <c r="A25" s="29">
        <v>19</v>
      </c>
      <c r="C25" s="1"/>
      <c r="D25" s="1"/>
      <c r="E25" s="1"/>
      <c r="F25" s="1"/>
      <c r="G25" s="1"/>
      <c r="H25" s="1" t="s">
        <v>27</v>
      </c>
      <c r="I25" s="1"/>
      <c r="J25" s="1"/>
      <c r="K25" s="1"/>
      <c r="L25" s="1"/>
      <c r="M25" s="1"/>
      <c r="N25" s="1"/>
      <c r="O25" s="1"/>
    </row>
    <row r="26" spans="1:16" s="29" customFormat="1" x14ac:dyDescent="0.25">
      <c r="A26" s="29">
        <v>20</v>
      </c>
      <c r="C26" s="60" t="s">
        <v>39</v>
      </c>
      <c r="D26" s="60"/>
      <c r="E26" s="45"/>
      <c r="F26" s="21">
        <f>SUM(H26:Q26)</f>
        <v>279938461</v>
      </c>
      <c r="G26" s="21"/>
      <c r="H26" s="21">
        <v>139245995</v>
      </c>
      <c r="I26" s="21">
        <v>64103014</v>
      </c>
      <c r="J26" s="21">
        <v>7030783</v>
      </c>
      <c r="K26" s="21">
        <v>5473765</v>
      </c>
      <c r="L26" s="21">
        <v>806645</v>
      </c>
      <c r="M26" s="21">
        <v>63278259</v>
      </c>
      <c r="N26" s="21"/>
      <c r="O26" s="21"/>
    </row>
    <row r="27" spans="1:16" s="29" customFormat="1" x14ac:dyDescent="0.25">
      <c r="A27" s="29">
        <v>21</v>
      </c>
      <c r="C27" s="29" t="s">
        <v>3</v>
      </c>
      <c r="F27" s="43">
        <f>SUM(H27:Q27)</f>
        <v>1</v>
      </c>
      <c r="H27" s="43">
        <f t="shared" ref="H27:M27" si="0">+H26/$F$26</f>
        <v>0.49741644825288939</v>
      </c>
      <c r="I27" s="43">
        <f t="shared" si="0"/>
        <v>0.22898966355323358</v>
      </c>
      <c r="J27" s="43">
        <f t="shared" si="0"/>
        <v>2.5115459215159435E-2</v>
      </c>
      <c r="K27" s="43">
        <f t="shared" si="0"/>
        <v>1.9553458215232526E-2</v>
      </c>
      <c r="L27" s="43">
        <f t="shared" si="0"/>
        <v>2.8815083040697291E-3</v>
      </c>
      <c r="M27" s="43">
        <f t="shared" si="0"/>
        <v>0.22604346245941531</v>
      </c>
      <c r="N27" s="43"/>
      <c r="O27" s="43"/>
    </row>
    <row r="28" spans="1:16" s="29" customFormat="1" x14ac:dyDescent="0.25">
      <c r="A28" s="29">
        <v>22</v>
      </c>
    </row>
    <row r="29" spans="1:16" s="29" customFormat="1" x14ac:dyDescent="0.25">
      <c r="A29" s="29">
        <v>23</v>
      </c>
    </row>
    <row r="30" spans="1:16" s="29" customFormat="1" x14ac:dyDescent="0.25">
      <c r="A30" s="29">
        <v>24</v>
      </c>
      <c r="C30" s="29" t="s">
        <v>4</v>
      </c>
      <c r="E30" s="29" t="s">
        <v>137</v>
      </c>
      <c r="F30" s="36">
        <f>+F21</f>
        <v>9027018.4600000009</v>
      </c>
    </row>
    <row r="31" spans="1:16" s="29" customFormat="1" x14ac:dyDescent="0.25">
      <c r="A31" s="29">
        <v>25</v>
      </c>
    </row>
    <row r="32" spans="1:16" s="29" customFormat="1" x14ac:dyDescent="0.25">
      <c r="A32" s="29">
        <v>26</v>
      </c>
      <c r="C32" s="29" t="s">
        <v>65</v>
      </c>
      <c r="E32" s="29" t="s">
        <v>138</v>
      </c>
      <c r="F32" s="37">
        <f>+F30*0.0263</f>
        <v>237410.58549800003</v>
      </c>
      <c r="G32" s="37"/>
      <c r="H32" s="37">
        <f>+F32</f>
        <v>237410.58549800003</v>
      </c>
    </row>
    <row r="33" spans="1:15" s="29" customFormat="1" x14ac:dyDescent="0.25">
      <c r="A33" s="29">
        <v>27</v>
      </c>
      <c r="C33" s="29" t="s">
        <v>6</v>
      </c>
      <c r="E33" s="29" t="s">
        <v>139</v>
      </c>
      <c r="F33" s="37">
        <f>+F32/2</f>
        <v>118705.29274900001</v>
      </c>
      <c r="G33" s="37"/>
      <c r="H33" s="37"/>
    </row>
    <row r="34" spans="1:15" s="29" customFormat="1" x14ac:dyDescent="0.25">
      <c r="A34" s="29">
        <v>28</v>
      </c>
      <c r="C34" s="29" t="s">
        <v>25</v>
      </c>
      <c r="E34" s="29" t="s">
        <v>140</v>
      </c>
      <c r="F34" s="37">
        <f>+F30*0.0375</f>
        <v>338513.19225000002</v>
      </c>
      <c r="G34" s="37"/>
      <c r="H34" s="37"/>
    </row>
    <row r="35" spans="1:15" s="29" customFormat="1" x14ac:dyDescent="0.25">
      <c r="A35" s="29">
        <v>29</v>
      </c>
      <c r="C35" s="29" t="s">
        <v>5</v>
      </c>
      <c r="E35" s="29" t="s">
        <v>141</v>
      </c>
      <c r="F35" s="37">
        <f>(+F34-F32)*0.21</f>
        <v>21231.547417919999</v>
      </c>
      <c r="G35" s="37"/>
      <c r="H35" s="37"/>
    </row>
    <row r="36" spans="1:15" s="29" customFormat="1" x14ac:dyDescent="0.25">
      <c r="A36" s="29">
        <v>30</v>
      </c>
      <c r="C36" s="29" t="s">
        <v>7</v>
      </c>
      <c r="E36" s="29" t="s">
        <v>142</v>
      </c>
      <c r="F36" s="37">
        <f>+F35/2</f>
        <v>10615.77370896</v>
      </c>
      <c r="G36" s="37"/>
      <c r="H36" s="37"/>
    </row>
    <row r="37" spans="1:15" s="29" customFormat="1" x14ac:dyDescent="0.25">
      <c r="A37" s="29">
        <v>31</v>
      </c>
      <c r="C37" s="29" t="s">
        <v>9</v>
      </c>
      <c r="E37" s="29" t="s">
        <v>143</v>
      </c>
      <c r="F37" s="37"/>
      <c r="G37" s="37"/>
      <c r="H37" s="37">
        <f>+H32*0.21</f>
        <v>49856.222954580007</v>
      </c>
    </row>
    <row r="38" spans="1:15" s="29" customFormat="1" x14ac:dyDescent="0.25">
      <c r="A38" s="29">
        <v>32</v>
      </c>
      <c r="B38" s="64"/>
      <c r="C38" s="29" t="s">
        <v>67</v>
      </c>
      <c r="F38" s="37"/>
      <c r="G38" s="37"/>
      <c r="H38" s="37">
        <f>+F39*0.02336*0.21</f>
        <v>43648.544333759826</v>
      </c>
    </row>
    <row r="39" spans="1:15" s="29" customFormat="1" x14ac:dyDescent="0.25">
      <c r="A39" s="29">
        <v>33</v>
      </c>
      <c r="C39" s="29" t="s">
        <v>57</v>
      </c>
      <c r="E39" s="29" t="s">
        <v>144</v>
      </c>
      <c r="F39" s="37">
        <f>+F21-F36-F33</f>
        <v>8897697.3935420401</v>
      </c>
      <c r="G39" s="37"/>
      <c r="H39" s="37"/>
    </row>
    <row r="40" spans="1:15" s="29" customFormat="1" x14ac:dyDescent="0.25">
      <c r="A40" s="29">
        <v>34</v>
      </c>
      <c r="C40" s="29" t="s">
        <v>68</v>
      </c>
      <c r="F40" s="38">
        <v>6.9510000000000002E-2</v>
      </c>
    </row>
    <row r="41" spans="1:15" s="29" customFormat="1" x14ac:dyDescent="0.25">
      <c r="A41" s="29">
        <v>35</v>
      </c>
    </row>
    <row r="42" spans="1:15" s="29" customFormat="1" x14ac:dyDescent="0.25">
      <c r="A42" s="29">
        <v>36</v>
      </c>
      <c r="C42" s="29" t="s">
        <v>8</v>
      </c>
      <c r="E42" s="29" t="s">
        <v>146</v>
      </c>
      <c r="F42" s="39">
        <f>+F39*F40</f>
        <v>618478.94582510728</v>
      </c>
      <c r="G42" s="39"/>
      <c r="H42" s="39">
        <f>+H32-H37-H38</f>
        <v>143905.81820966018</v>
      </c>
    </row>
    <row r="43" spans="1:15" s="29" customFormat="1" x14ac:dyDescent="0.25">
      <c r="A43" s="29">
        <v>37</v>
      </c>
      <c r="C43" s="29" t="s">
        <v>10</v>
      </c>
      <c r="E43" s="29" t="s">
        <v>145</v>
      </c>
      <c r="F43" s="39">
        <f>+F42+H42</f>
        <v>762384.7640347674</v>
      </c>
      <c r="G43" s="39"/>
      <c r="H43" s="39"/>
    </row>
    <row r="44" spans="1:15" s="29" customFormat="1" x14ac:dyDescent="0.25">
      <c r="A44" s="29">
        <v>38</v>
      </c>
      <c r="C44" s="29" t="s">
        <v>69</v>
      </c>
      <c r="F44" s="29">
        <v>0.75480999999999998</v>
      </c>
    </row>
    <row r="45" spans="1:15" s="29" customFormat="1" x14ac:dyDescent="0.25">
      <c r="A45" s="29">
        <v>39</v>
      </c>
      <c r="C45" s="29" t="s">
        <v>15</v>
      </c>
      <c r="E45" s="29" t="s">
        <v>147</v>
      </c>
      <c r="F45" s="40">
        <f>+F43/F44</f>
        <v>1010035.3254922</v>
      </c>
      <c r="H45" s="40"/>
      <c r="I45" s="39"/>
      <c r="J45" s="39"/>
      <c r="K45" s="39"/>
      <c r="L45" s="39"/>
      <c r="M45" s="39"/>
      <c r="N45" s="39"/>
      <c r="O45" s="39"/>
    </row>
    <row r="46" spans="1:15" s="29" customFormat="1" x14ac:dyDescent="0.25">
      <c r="A46" s="29">
        <v>40</v>
      </c>
      <c r="C46" s="29" t="s">
        <v>134</v>
      </c>
      <c r="F46" s="78">
        <v>0</v>
      </c>
      <c r="H46" s="40"/>
      <c r="I46" s="39"/>
      <c r="J46" s="39"/>
      <c r="K46" s="39"/>
      <c r="L46" s="39"/>
      <c r="M46" s="39"/>
      <c r="N46" s="39"/>
      <c r="O46" s="39"/>
    </row>
    <row r="47" spans="1:15" s="29" customFormat="1" x14ac:dyDescent="0.25">
      <c r="A47" s="29">
        <v>41</v>
      </c>
      <c r="H47" s="40"/>
      <c r="I47" s="39"/>
      <c r="J47" s="39"/>
      <c r="K47" s="39"/>
      <c r="L47" s="39"/>
      <c r="M47" s="39"/>
      <c r="N47" s="39"/>
      <c r="O47" s="39"/>
    </row>
    <row r="48" spans="1:15" s="29" customFormat="1" ht="15.75" thickBot="1" x14ac:dyDescent="0.3">
      <c r="A48" s="29">
        <v>42</v>
      </c>
      <c r="C48" s="29" t="s">
        <v>16</v>
      </c>
      <c r="E48" s="29" t="s">
        <v>148</v>
      </c>
      <c r="F48" s="41">
        <f>+F45+F46</f>
        <v>1010035.3254922</v>
      </c>
      <c r="H48" s="40"/>
      <c r="I48" s="39"/>
      <c r="J48" s="39"/>
      <c r="K48" s="39"/>
      <c r="L48" s="39"/>
      <c r="M48" s="39"/>
      <c r="N48" s="39"/>
      <c r="O48" s="39"/>
    </row>
    <row r="49" spans="1:16" s="29" customFormat="1" ht="15.75" thickTop="1" x14ac:dyDescent="0.25">
      <c r="A49" s="29">
        <v>43</v>
      </c>
      <c r="C49" s="29" t="s">
        <v>97</v>
      </c>
      <c r="F49" s="78">
        <v>0</v>
      </c>
      <c r="H49" s="24"/>
      <c r="I49" s="24"/>
      <c r="J49" s="24"/>
      <c r="K49" s="24"/>
      <c r="L49" s="24"/>
      <c r="M49" s="24"/>
      <c r="N49" s="39"/>
      <c r="O49" s="39"/>
      <c r="P49" s="39"/>
    </row>
    <row r="50" spans="1:16" s="29" customFormat="1" x14ac:dyDescent="0.25">
      <c r="A50" s="29">
        <v>44</v>
      </c>
      <c r="F50" s="40"/>
      <c r="H50" s="40"/>
      <c r="I50" s="39"/>
      <c r="J50" s="39"/>
      <c r="K50" s="39"/>
      <c r="L50" s="39"/>
      <c r="M50" s="39"/>
      <c r="N50" s="39"/>
      <c r="O50" s="39"/>
    </row>
    <row r="51" spans="1:16" s="29" customFormat="1" x14ac:dyDescent="0.25">
      <c r="A51" s="29">
        <v>45</v>
      </c>
      <c r="C51" s="29" t="s">
        <v>35</v>
      </c>
      <c r="F51" s="40">
        <f>+F48-F49</f>
        <v>1010035.3254922</v>
      </c>
      <c r="H51" s="40"/>
      <c r="I51" s="39"/>
      <c r="J51" s="39"/>
      <c r="K51" s="39"/>
      <c r="L51" s="39"/>
      <c r="M51" s="39"/>
      <c r="N51" s="39"/>
      <c r="O51" s="39"/>
    </row>
    <row r="52" spans="1:16" s="29" customFormat="1" ht="15.75" thickTop="1" x14ac:dyDescent="0.25">
      <c r="A52" s="29">
        <v>46</v>
      </c>
      <c r="H52" s="39"/>
      <c r="I52" s="39"/>
      <c r="J52" s="39"/>
      <c r="K52" s="39"/>
      <c r="L52" s="39"/>
      <c r="M52" s="39"/>
      <c r="N52" s="39"/>
      <c r="O52" s="39"/>
    </row>
    <row r="53" spans="1:16" s="29" customFormat="1" x14ac:dyDescent="0.25">
      <c r="A53" s="29">
        <v>47</v>
      </c>
      <c r="C53" s="29" t="s">
        <v>13</v>
      </c>
      <c r="E53" s="29" t="s">
        <v>149</v>
      </c>
      <c r="H53" s="39">
        <f>+$F$48*H27</f>
        <v>502408.18421628117</v>
      </c>
      <c r="I53" s="39">
        <f t="shared" ref="I53:M53" si="1">+$F$48*I27</f>
        <v>231287.64936133963</v>
      </c>
      <c r="J53" s="39">
        <f t="shared" si="1"/>
        <v>25367.501023269633</v>
      </c>
      <c r="K53" s="39">
        <f t="shared" si="1"/>
        <v>19749.683532920517</v>
      </c>
      <c r="L53" s="39">
        <f t="shared" si="1"/>
        <v>2910.4251778095459</v>
      </c>
      <c r="M53" s="39">
        <f t="shared" si="1"/>
        <v>228311.88218057944</v>
      </c>
      <c r="N53" s="39"/>
      <c r="O53" s="39"/>
    </row>
    <row r="54" spans="1:16" s="29" customFormat="1" x14ac:dyDescent="0.25">
      <c r="A54" s="29">
        <v>48</v>
      </c>
      <c r="C54" s="29" t="s">
        <v>99</v>
      </c>
      <c r="F54" s="37"/>
      <c r="H54" s="37">
        <v>133192845</v>
      </c>
      <c r="I54" s="37">
        <v>90995004</v>
      </c>
      <c r="J54" s="37">
        <v>11588336</v>
      </c>
      <c r="K54" s="37">
        <v>26356512</v>
      </c>
      <c r="L54" s="37">
        <v>2107574</v>
      </c>
      <c r="M54" s="37">
        <v>629871983</v>
      </c>
      <c r="N54" s="37"/>
      <c r="O54" s="37"/>
    </row>
    <row r="55" spans="1:16" s="29" customFormat="1" x14ac:dyDescent="0.25">
      <c r="A55" s="29">
        <v>49</v>
      </c>
      <c r="H55" s="37"/>
      <c r="I55" s="37"/>
      <c r="J55" s="37"/>
      <c r="K55" s="37"/>
      <c r="L55" s="37"/>
      <c r="M55" s="37"/>
      <c r="N55" s="37"/>
      <c r="O55" s="37"/>
    </row>
    <row r="56" spans="1:16" s="29" customFormat="1" x14ac:dyDescent="0.25">
      <c r="A56" s="29">
        <v>50</v>
      </c>
      <c r="H56" s="37"/>
      <c r="I56" s="37"/>
      <c r="J56" s="37"/>
      <c r="K56" s="37"/>
      <c r="L56" s="37"/>
      <c r="M56" s="37"/>
      <c r="N56" s="37"/>
      <c r="O56" s="37"/>
    </row>
    <row r="57" spans="1:16" s="29" customFormat="1" x14ac:dyDescent="0.25">
      <c r="A57" s="29">
        <v>51</v>
      </c>
      <c r="C57" s="29" t="s">
        <v>18</v>
      </c>
      <c r="E57" s="29" t="s">
        <v>150</v>
      </c>
      <c r="H57" s="81">
        <f>+H53/H54</f>
        <v>3.7720358343293976E-3</v>
      </c>
      <c r="I57" s="81">
        <f>+I53/I54</f>
        <v>2.5417620659848495E-3</v>
      </c>
      <c r="J57" s="81">
        <f>+J53/J54</f>
        <v>2.1890546687004615E-3</v>
      </c>
      <c r="K57" s="81">
        <f t="shared" ref="K57:M57" si="2">+K53/K54</f>
        <v>7.4932842148917565E-4</v>
      </c>
      <c r="L57" s="81">
        <f t="shared" si="2"/>
        <v>1.3809361748671914E-3</v>
      </c>
      <c r="M57" s="81">
        <f t="shared" si="2"/>
        <v>3.6247346816913344E-4</v>
      </c>
      <c r="N57" s="42"/>
      <c r="O57" s="42"/>
    </row>
    <row r="58" spans="1:16" s="29" customFormat="1" x14ac:dyDescent="0.25">
      <c r="A58" s="29">
        <v>52</v>
      </c>
    </row>
    <row r="59" spans="1:16" s="29" customFormat="1" x14ac:dyDescent="0.25">
      <c r="A59" s="29">
        <v>53</v>
      </c>
      <c r="C59" s="29" t="s">
        <v>98</v>
      </c>
      <c r="H59" s="39">
        <v>265512253</v>
      </c>
    </row>
    <row r="60" spans="1:16" s="29" customFormat="1" x14ac:dyDescent="0.25">
      <c r="A60" s="29">
        <v>54</v>
      </c>
      <c r="C60" s="29" t="s">
        <v>14</v>
      </c>
      <c r="E60" s="29" t="s">
        <v>151</v>
      </c>
      <c r="H60" s="38">
        <f>(+F51)/H59</f>
        <v>3.8041006171274511E-3</v>
      </c>
    </row>
    <row r="61" spans="1:16" s="29" customFormat="1" x14ac:dyDescent="0.25">
      <c r="H61" s="43"/>
    </row>
    <row r="62" spans="1:16" s="29" customFormat="1" x14ac:dyDescent="0.25">
      <c r="H62" s="43"/>
    </row>
    <row r="63" spans="1:16" x14ac:dyDescent="0.25">
      <c r="F63" s="29"/>
      <c r="G63" s="29"/>
      <c r="H63" s="29"/>
      <c r="I63" s="29"/>
      <c r="J63" s="29"/>
      <c r="K63" s="29"/>
      <c r="L63" s="29"/>
      <c r="M63" s="29"/>
    </row>
    <row r="64" spans="1:16" x14ac:dyDescent="0.25">
      <c r="F64" s="29"/>
      <c r="G64" s="29"/>
      <c r="H64" s="29"/>
      <c r="I64" s="29"/>
      <c r="J64" s="29"/>
      <c r="K64" s="29"/>
      <c r="L64" s="29"/>
      <c r="M64" s="29"/>
    </row>
    <row r="65" spans="6:13" x14ac:dyDescent="0.25">
      <c r="F65" s="29"/>
      <c r="G65" s="29"/>
      <c r="H65" s="25"/>
      <c r="I65" s="25"/>
      <c r="J65" s="25"/>
      <c r="K65" s="25"/>
      <c r="L65" s="25"/>
      <c r="M65" s="25"/>
    </row>
    <row r="66" spans="6:13" x14ac:dyDescent="0.25">
      <c r="F66" s="29"/>
      <c r="G66" s="29"/>
      <c r="H66" s="25"/>
      <c r="I66" s="25"/>
      <c r="J66" s="25"/>
      <c r="K66" s="25"/>
      <c r="L66" s="25"/>
      <c r="M66" s="25"/>
    </row>
    <row r="67" spans="6:13" x14ac:dyDescent="0.25">
      <c r="F67" s="29"/>
      <c r="G67" s="29"/>
      <c r="H67" s="44"/>
      <c r="I67" s="44"/>
      <c r="J67" s="44"/>
      <c r="K67" s="44"/>
      <c r="L67" s="44"/>
      <c r="M67" s="44"/>
    </row>
    <row r="68" spans="6:13" x14ac:dyDescent="0.25">
      <c r="H68" s="10"/>
      <c r="I68" s="10"/>
      <c r="J68" s="10"/>
      <c r="K68" s="10"/>
      <c r="L68" s="10"/>
      <c r="M68" s="10"/>
    </row>
  </sheetData>
  <phoneticPr fontId="4" type="noConversion"/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DA12-E646-4F1C-BC96-93544ABB019A}">
  <sheetPr>
    <pageSetUpPr fitToPage="1"/>
  </sheetPr>
  <dimension ref="A1:P72"/>
  <sheetViews>
    <sheetView topLeftCell="A28" zoomScaleNormal="100" workbookViewId="0">
      <selection activeCell="C36" sqref="C36"/>
    </sheetView>
  </sheetViews>
  <sheetFormatPr defaultRowHeight="15" x14ac:dyDescent="0.25"/>
  <cols>
    <col min="1" max="1" width="3" style="29" bestFit="1" customWidth="1"/>
    <col min="2" max="2" width="2.7109375" style="29" customWidth="1"/>
    <col min="3" max="3" width="75.42578125" style="29" bestFit="1" customWidth="1"/>
    <col min="4" max="4" width="17.28515625" style="29" bestFit="1" customWidth="1"/>
    <col min="5" max="5" width="41.7109375" style="29" customWidth="1"/>
    <col min="6" max="6" width="18.85546875" style="29" bestFit="1" customWidth="1"/>
    <col min="7" max="7" width="9.140625" style="29"/>
    <col min="8" max="8" width="17.5703125" style="29" bestFit="1" customWidth="1"/>
    <col min="9" max="9" width="12.42578125" style="29" customWidth="1"/>
    <col min="10" max="10" width="12.140625" style="29" customWidth="1"/>
    <col min="11" max="12" width="12" style="29" customWidth="1"/>
    <col min="13" max="13" width="13.42578125" style="29" bestFit="1" customWidth="1"/>
    <col min="14" max="14" width="11.7109375" style="29" bestFit="1" customWidth="1"/>
    <col min="15" max="15" width="9.140625" style="29"/>
    <col min="16" max="16" width="11.7109375" style="29" bestFit="1" customWidth="1"/>
    <col min="17" max="16384" width="9.140625" style="29"/>
  </cols>
  <sheetData>
    <row r="1" spans="1:16" ht="18.75" x14ac:dyDescent="0.3">
      <c r="C1" s="65" t="s">
        <v>37</v>
      </c>
    </row>
    <row r="2" spans="1:16" x14ac:dyDescent="0.25">
      <c r="C2" s="29" t="s">
        <v>60</v>
      </c>
      <c r="F2" s="63" t="s">
        <v>36</v>
      </c>
    </row>
    <row r="3" spans="1:16" x14ac:dyDescent="0.25">
      <c r="F3" s="22" t="s">
        <v>70</v>
      </c>
    </row>
    <row r="4" spans="1:16" x14ac:dyDescent="0.25">
      <c r="C4" s="45"/>
      <c r="D4" s="45"/>
      <c r="E4" s="45"/>
      <c r="F4" s="22" t="s">
        <v>1</v>
      </c>
      <c r="G4" s="45"/>
      <c r="H4" s="46"/>
      <c r="I4" s="45"/>
      <c r="J4" s="45"/>
      <c r="K4" s="45"/>
      <c r="L4" s="45"/>
      <c r="M4" s="45"/>
      <c r="N4" s="45"/>
      <c r="O4" s="45"/>
    </row>
    <row r="5" spans="1:16" x14ac:dyDescent="0.25">
      <c r="C5" s="22" t="s">
        <v>0</v>
      </c>
      <c r="D5" s="22" t="s">
        <v>17</v>
      </c>
      <c r="E5" s="22" t="s">
        <v>71</v>
      </c>
      <c r="F5" s="22" t="s">
        <v>56</v>
      </c>
      <c r="G5" s="45"/>
      <c r="H5" s="22"/>
      <c r="I5" s="45"/>
      <c r="J5" s="47" t="s">
        <v>26</v>
      </c>
      <c r="K5" s="45"/>
      <c r="L5" s="45"/>
      <c r="M5" s="45"/>
      <c r="N5" s="47"/>
      <c r="O5" s="45"/>
    </row>
    <row r="6" spans="1:16" x14ac:dyDescent="0.25">
      <c r="C6" s="22"/>
      <c r="D6" s="22"/>
      <c r="E6" s="45"/>
      <c r="F6" s="47"/>
      <c r="G6" s="45"/>
      <c r="H6" s="47"/>
      <c r="I6" s="45"/>
      <c r="J6" s="45"/>
      <c r="K6" s="45"/>
      <c r="L6" s="45"/>
      <c r="M6" s="45"/>
      <c r="N6" s="45"/>
      <c r="O6" s="45"/>
    </row>
    <row r="7" spans="1:16" x14ac:dyDescent="0.25">
      <c r="A7" s="29">
        <v>1</v>
      </c>
      <c r="C7" s="66" t="s">
        <v>72</v>
      </c>
      <c r="D7" s="67" t="s">
        <v>73</v>
      </c>
      <c r="E7" s="48" t="s">
        <v>74</v>
      </c>
      <c r="F7" s="26">
        <v>0</v>
      </c>
      <c r="H7" s="68"/>
      <c r="I7" s="66" t="s">
        <v>19</v>
      </c>
      <c r="L7" s="35"/>
      <c r="M7" s="66"/>
      <c r="N7" s="30"/>
      <c r="O7" s="30"/>
      <c r="P7" s="30"/>
    </row>
    <row r="8" spans="1:16" ht="30" x14ac:dyDescent="0.25">
      <c r="A8" s="29">
        <v>2</v>
      </c>
      <c r="C8" s="66" t="s">
        <v>75</v>
      </c>
      <c r="D8" s="67" t="s">
        <v>73</v>
      </c>
      <c r="E8" s="49" t="s">
        <v>76</v>
      </c>
      <c r="F8" s="26">
        <f>+[2]Monthly!Z31</f>
        <v>7631034.1700000009</v>
      </c>
      <c r="H8" s="69"/>
      <c r="I8" s="66" t="s">
        <v>19</v>
      </c>
      <c r="L8" s="35"/>
      <c r="M8" s="66"/>
      <c r="N8" s="30"/>
      <c r="O8" s="30"/>
      <c r="P8" s="30"/>
    </row>
    <row r="9" spans="1:16" x14ac:dyDescent="0.25">
      <c r="A9" s="29">
        <v>3</v>
      </c>
      <c r="C9" s="66" t="s">
        <v>51</v>
      </c>
      <c r="D9" s="67" t="s">
        <v>77</v>
      </c>
      <c r="E9" s="48" t="s">
        <v>78</v>
      </c>
      <c r="F9" s="26">
        <f>+[2]Monthly!Z14</f>
        <v>167810.18</v>
      </c>
      <c r="H9" s="68"/>
      <c r="I9" s="66" t="s">
        <v>46</v>
      </c>
      <c r="L9" s="35"/>
      <c r="M9" s="66"/>
      <c r="N9" s="30"/>
      <c r="O9" s="30"/>
      <c r="P9" s="30"/>
    </row>
    <row r="10" spans="1:16" x14ac:dyDescent="0.25">
      <c r="A10" s="29">
        <v>4</v>
      </c>
      <c r="C10" s="66" t="s">
        <v>79</v>
      </c>
      <c r="D10" s="67" t="s">
        <v>80</v>
      </c>
      <c r="E10" s="48" t="s">
        <v>81</v>
      </c>
      <c r="F10" s="26">
        <f>+[2]Monthly!Z41</f>
        <v>341064.43999999994</v>
      </c>
      <c r="H10" s="68"/>
      <c r="I10" s="66" t="s">
        <v>20</v>
      </c>
      <c r="L10" s="35"/>
      <c r="M10" s="66"/>
      <c r="N10" s="30"/>
      <c r="O10" s="30"/>
      <c r="P10" s="30"/>
    </row>
    <row r="11" spans="1:16" x14ac:dyDescent="0.25">
      <c r="A11" s="29">
        <v>5</v>
      </c>
      <c r="B11" s="31"/>
      <c r="C11" s="66" t="s">
        <v>63</v>
      </c>
      <c r="D11" s="67" t="s">
        <v>82</v>
      </c>
      <c r="E11" s="48" t="s">
        <v>83</v>
      </c>
      <c r="F11" s="26">
        <v>0</v>
      </c>
      <c r="H11" s="68"/>
      <c r="I11" s="66" t="s">
        <v>20</v>
      </c>
      <c r="L11" s="35"/>
      <c r="M11" s="66"/>
      <c r="N11" s="30"/>
      <c r="O11" s="30"/>
      <c r="P11" s="30"/>
    </row>
    <row r="12" spans="1:16" x14ac:dyDescent="0.25">
      <c r="A12" s="29">
        <v>6</v>
      </c>
      <c r="C12" s="66" t="s">
        <v>24</v>
      </c>
      <c r="D12" s="67" t="s">
        <v>84</v>
      </c>
      <c r="E12" s="48" t="s">
        <v>85</v>
      </c>
      <c r="F12" s="26">
        <f>+[2]Monthly!Z12</f>
        <v>72404.789999999994</v>
      </c>
      <c r="H12" s="68"/>
      <c r="I12" s="66" t="s">
        <v>22</v>
      </c>
      <c r="L12" s="35"/>
      <c r="M12" s="66"/>
      <c r="N12" s="30"/>
      <c r="O12" s="30"/>
      <c r="P12" s="30"/>
    </row>
    <row r="13" spans="1:16" x14ac:dyDescent="0.25">
      <c r="A13" s="29">
        <v>7</v>
      </c>
      <c r="C13" s="66" t="s">
        <v>64</v>
      </c>
      <c r="D13" s="67" t="s">
        <v>23</v>
      </c>
      <c r="E13" s="48" t="s">
        <v>86</v>
      </c>
      <c r="F13" s="26">
        <f>+[2]Monthly!Z56</f>
        <v>46047.479999999996</v>
      </c>
      <c r="H13" s="68"/>
      <c r="I13" s="66" t="s">
        <v>44</v>
      </c>
      <c r="L13" s="35"/>
      <c r="M13" s="66"/>
      <c r="N13" s="30"/>
      <c r="O13" s="30"/>
      <c r="P13" s="30"/>
    </row>
    <row r="14" spans="1:16" x14ac:dyDescent="0.25">
      <c r="A14" s="29">
        <v>8</v>
      </c>
      <c r="C14" s="66" t="s">
        <v>87</v>
      </c>
      <c r="D14" s="67" t="s">
        <v>73</v>
      </c>
      <c r="E14" s="48" t="s">
        <v>88</v>
      </c>
      <c r="F14" s="26">
        <f>+[2]Monthly!Z20</f>
        <v>1131792.42</v>
      </c>
      <c r="H14" s="68"/>
      <c r="I14" s="66" t="s">
        <v>44</v>
      </c>
      <c r="L14" s="35"/>
      <c r="M14" s="66"/>
      <c r="N14" s="30"/>
      <c r="O14" s="30"/>
      <c r="P14" s="30"/>
    </row>
    <row r="15" spans="1:16" x14ac:dyDescent="0.25">
      <c r="A15" s="29">
        <v>9</v>
      </c>
      <c r="C15" s="66" t="s">
        <v>89</v>
      </c>
      <c r="D15" s="67" t="s">
        <v>84</v>
      </c>
      <c r="E15" s="48" t="s">
        <v>90</v>
      </c>
      <c r="F15" s="26">
        <f>+[2]Monthly!Z50</f>
        <v>121341.01999999997</v>
      </c>
      <c r="H15" s="68"/>
      <c r="I15" s="66" t="s">
        <v>45</v>
      </c>
      <c r="L15" s="35"/>
      <c r="M15" s="66"/>
      <c r="N15" s="30"/>
      <c r="O15" s="30"/>
      <c r="P15" s="30"/>
    </row>
    <row r="16" spans="1:16" x14ac:dyDescent="0.25">
      <c r="A16" s="29">
        <v>10</v>
      </c>
      <c r="C16" s="66" t="s">
        <v>53</v>
      </c>
      <c r="D16" s="67" t="s">
        <v>54</v>
      </c>
      <c r="E16" s="48" t="s">
        <v>91</v>
      </c>
      <c r="F16" s="26">
        <f>+[2]Monthly!Z60</f>
        <v>38830.54</v>
      </c>
      <c r="H16" s="68"/>
      <c r="I16" s="66" t="s">
        <v>47</v>
      </c>
      <c r="L16" s="35"/>
      <c r="M16" s="66"/>
      <c r="N16" s="30"/>
      <c r="O16" s="30"/>
      <c r="P16" s="30"/>
    </row>
    <row r="17" spans="1:16" x14ac:dyDescent="0.25">
      <c r="A17" s="29">
        <v>11</v>
      </c>
      <c r="C17" s="66" t="s">
        <v>92</v>
      </c>
      <c r="D17" s="67" t="s">
        <v>93</v>
      </c>
      <c r="E17" s="48" t="s">
        <v>94</v>
      </c>
      <c r="F17" s="26">
        <f>+[2]Monthly!Z10</f>
        <v>3135079.27</v>
      </c>
      <c r="H17" s="68"/>
      <c r="I17" s="66" t="s">
        <v>55</v>
      </c>
      <c r="L17" s="35"/>
      <c r="M17" s="66"/>
      <c r="N17" s="30"/>
      <c r="O17" s="30"/>
      <c r="P17" s="30"/>
    </row>
    <row r="18" spans="1:16" x14ac:dyDescent="0.25">
      <c r="A18" s="29">
        <v>12</v>
      </c>
      <c r="C18" s="66" t="s">
        <v>95</v>
      </c>
      <c r="D18" s="67" t="s">
        <v>52</v>
      </c>
      <c r="E18" s="48" t="s">
        <v>96</v>
      </c>
      <c r="F18" s="17">
        <f>+[2]Monthly!Z16</f>
        <v>-434.51999999999953</v>
      </c>
      <c r="G18" s="70"/>
      <c r="H18" s="70"/>
      <c r="I18" s="66" t="s">
        <v>55</v>
      </c>
      <c r="L18" s="35"/>
      <c r="M18" s="66"/>
    </row>
    <row r="19" spans="1:16" x14ac:dyDescent="0.25">
      <c r="A19" s="29">
        <v>13</v>
      </c>
      <c r="C19" s="66"/>
      <c r="D19" s="67"/>
      <c r="E19" s="33"/>
      <c r="F19" s="17"/>
      <c r="G19" s="70"/>
      <c r="H19" s="70"/>
      <c r="I19" s="66"/>
      <c r="L19" s="35"/>
      <c r="M19" s="66"/>
    </row>
    <row r="20" spans="1:16" x14ac:dyDescent="0.25">
      <c r="A20" s="29">
        <v>14</v>
      </c>
      <c r="C20" s="66"/>
      <c r="D20" s="67"/>
      <c r="E20" s="50"/>
      <c r="F20" s="17"/>
      <c r="G20" s="71"/>
      <c r="H20" s="70"/>
      <c r="I20" s="72"/>
      <c r="J20" s="31"/>
      <c r="K20" s="31"/>
      <c r="L20" s="51"/>
      <c r="M20" s="66"/>
    </row>
    <row r="21" spans="1:16" x14ac:dyDescent="0.25">
      <c r="A21" s="29">
        <v>15</v>
      </c>
      <c r="C21" s="66"/>
      <c r="D21" s="67"/>
      <c r="E21" s="50" t="s">
        <v>131</v>
      </c>
      <c r="F21" s="17"/>
      <c r="G21" s="71"/>
      <c r="H21" s="70"/>
      <c r="I21" s="72"/>
      <c r="J21" s="31"/>
      <c r="K21" s="31"/>
      <c r="L21" s="51"/>
      <c r="M21" s="66"/>
    </row>
    <row r="22" spans="1:16" x14ac:dyDescent="0.25">
      <c r="A22" s="29">
        <v>16</v>
      </c>
      <c r="C22" s="66"/>
      <c r="D22" s="67"/>
      <c r="E22" s="50"/>
      <c r="F22" s="17"/>
      <c r="G22" s="71"/>
      <c r="H22" s="70"/>
      <c r="I22" s="72"/>
      <c r="J22" s="31"/>
      <c r="K22" s="31"/>
      <c r="L22" s="51"/>
      <c r="M22" s="66"/>
    </row>
    <row r="23" spans="1:16" x14ac:dyDescent="0.25">
      <c r="A23" s="29">
        <v>17</v>
      </c>
      <c r="C23" s="66"/>
      <c r="D23" s="67"/>
      <c r="E23" s="52"/>
      <c r="F23" s="18"/>
      <c r="G23" s="70"/>
      <c r="H23" s="70"/>
      <c r="I23" s="66"/>
      <c r="L23" s="21"/>
      <c r="M23" s="66"/>
    </row>
    <row r="24" spans="1:16" ht="15.75" thickBot="1" x14ac:dyDescent="0.3">
      <c r="A24" s="29">
        <v>18</v>
      </c>
      <c r="C24" s="66"/>
      <c r="D24" s="67"/>
      <c r="E24" s="50"/>
      <c r="F24" s="73"/>
      <c r="G24" s="74"/>
      <c r="H24" s="53"/>
      <c r="I24" s="54"/>
      <c r="J24" s="54"/>
      <c r="K24" s="54"/>
      <c r="L24" s="45"/>
      <c r="M24" s="45"/>
      <c r="N24" s="45"/>
      <c r="O24" s="45"/>
    </row>
    <row r="25" spans="1:16" ht="15.75" thickTop="1" x14ac:dyDescent="0.25">
      <c r="A25" s="29">
        <v>19</v>
      </c>
      <c r="C25" s="45" t="s">
        <v>12</v>
      </c>
      <c r="D25" s="45"/>
      <c r="E25" s="45"/>
      <c r="F25" s="20">
        <f>SUM(F7:F24)</f>
        <v>12684969.789999999</v>
      </c>
      <c r="G25" s="55"/>
      <c r="H25" s="56">
        <f>SUM(H7:H24)</f>
        <v>0</v>
      </c>
      <c r="I25" s="21"/>
      <c r="J25" s="45"/>
      <c r="K25" s="45"/>
      <c r="L25" s="45"/>
      <c r="M25" s="45"/>
      <c r="N25" s="45"/>
      <c r="O25" s="45"/>
    </row>
    <row r="26" spans="1:16" x14ac:dyDescent="0.25">
      <c r="C26" s="45"/>
      <c r="D26" s="45"/>
      <c r="E26" s="45"/>
      <c r="F26" s="21"/>
      <c r="G26" s="45"/>
      <c r="H26" s="21"/>
      <c r="I26" s="45"/>
      <c r="J26" s="45"/>
      <c r="K26" s="45"/>
      <c r="L26" s="45"/>
      <c r="M26" s="45"/>
      <c r="N26" s="45"/>
      <c r="O26" s="45"/>
    </row>
    <row r="27" spans="1:16" ht="18.75" x14ac:dyDescent="0.3">
      <c r="A27" s="29">
        <v>20</v>
      </c>
      <c r="C27" s="45"/>
      <c r="D27" s="45"/>
      <c r="E27" s="45"/>
      <c r="F27" s="45"/>
      <c r="G27" s="45"/>
      <c r="H27" s="57" t="s">
        <v>11</v>
      </c>
      <c r="I27" s="57" t="s">
        <v>11</v>
      </c>
      <c r="J27" s="57" t="s">
        <v>11</v>
      </c>
      <c r="K27" s="57" t="s">
        <v>11</v>
      </c>
      <c r="L27" s="57" t="s">
        <v>11</v>
      </c>
      <c r="M27" s="57" t="s">
        <v>11</v>
      </c>
      <c r="N27" s="57"/>
      <c r="O27" s="57"/>
    </row>
    <row r="28" spans="1:16" ht="18.75" x14ac:dyDescent="0.3">
      <c r="A28" s="29">
        <v>21</v>
      </c>
      <c r="C28" s="45"/>
      <c r="D28" s="45"/>
      <c r="E28" s="45"/>
      <c r="F28" s="45"/>
      <c r="G28" s="45"/>
      <c r="H28" s="58" t="s">
        <v>48</v>
      </c>
      <c r="I28" s="59">
        <v>504</v>
      </c>
      <c r="J28" s="58" t="s">
        <v>49</v>
      </c>
      <c r="K28" s="59">
        <v>511</v>
      </c>
      <c r="L28" s="58" t="s">
        <v>50</v>
      </c>
      <c r="M28" s="59">
        <v>663</v>
      </c>
      <c r="N28" s="59"/>
      <c r="O28" s="59"/>
    </row>
    <row r="29" spans="1:16" x14ac:dyDescent="0.25">
      <c r="C29" s="45"/>
      <c r="D29" s="45"/>
      <c r="E29" s="45"/>
      <c r="F29" s="45"/>
      <c r="G29" s="45"/>
      <c r="H29" s="45" t="s">
        <v>27</v>
      </c>
      <c r="I29" s="45"/>
      <c r="J29" s="45"/>
      <c r="K29" s="45"/>
      <c r="L29" s="45"/>
      <c r="M29" s="45"/>
      <c r="N29" s="45"/>
      <c r="O29" s="45"/>
    </row>
    <row r="30" spans="1:16" x14ac:dyDescent="0.25">
      <c r="A30" s="29">
        <v>22</v>
      </c>
      <c r="C30" s="60" t="s">
        <v>39</v>
      </c>
      <c r="D30" s="60"/>
      <c r="E30" s="45"/>
      <c r="F30" s="21">
        <f>SUM(H30:Q30)</f>
        <v>279938461</v>
      </c>
      <c r="G30" s="21"/>
      <c r="H30" s="21">
        <v>139245995</v>
      </c>
      <c r="I30" s="21">
        <v>64103014</v>
      </c>
      <c r="J30" s="21">
        <v>7030783</v>
      </c>
      <c r="K30" s="21">
        <v>5473765</v>
      </c>
      <c r="L30" s="21">
        <v>806645</v>
      </c>
      <c r="M30" s="21">
        <v>63278259</v>
      </c>
      <c r="N30" s="21"/>
      <c r="O30" s="21"/>
    </row>
    <row r="31" spans="1:16" x14ac:dyDescent="0.25">
      <c r="A31" s="29">
        <v>23</v>
      </c>
      <c r="C31" s="29" t="s">
        <v>3</v>
      </c>
      <c r="F31" s="43">
        <f>SUM(H31:Q31)</f>
        <v>1</v>
      </c>
      <c r="H31" s="43">
        <f t="shared" ref="H31:M31" si="0">+H30/$F$30</f>
        <v>0.49741644825288939</v>
      </c>
      <c r="I31" s="43">
        <f t="shared" si="0"/>
        <v>0.22898966355323358</v>
      </c>
      <c r="J31" s="43">
        <f t="shared" si="0"/>
        <v>2.5115459215159435E-2</v>
      </c>
      <c r="K31" s="43">
        <f t="shared" si="0"/>
        <v>1.9553458215232526E-2</v>
      </c>
      <c r="L31" s="43">
        <f t="shared" si="0"/>
        <v>2.8815083040697291E-3</v>
      </c>
      <c r="M31" s="43">
        <f t="shared" si="0"/>
        <v>0.22604346245941531</v>
      </c>
      <c r="N31" s="43"/>
      <c r="O31" s="43"/>
    </row>
    <row r="34" spans="1:8" x14ac:dyDescent="0.25">
      <c r="A34" s="29">
        <v>24</v>
      </c>
      <c r="C34" s="29" t="s">
        <v>4</v>
      </c>
      <c r="E34" s="29" t="s">
        <v>28</v>
      </c>
      <c r="F34" s="36">
        <f>+F25</f>
        <v>12684969.789999999</v>
      </c>
    </row>
    <row r="36" spans="1:8" x14ac:dyDescent="0.25">
      <c r="A36" s="29">
        <v>25</v>
      </c>
      <c r="C36" s="29" t="s">
        <v>65</v>
      </c>
      <c r="E36" s="29" t="s">
        <v>66</v>
      </c>
      <c r="F36" s="37">
        <f>+F34*0.0263</f>
        <v>333614.70547699998</v>
      </c>
      <c r="G36" s="37"/>
      <c r="H36" s="37">
        <f>+F36</f>
        <v>333614.70547699998</v>
      </c>
    </row>
    <row r="37" spans="1:8" x14ac:dyDescent="0.25">
      <c r="A37" s="29">
        <v>26</v>
      </c>
      <c r="C37" s="29" t="s">
        <v>6</v>
      </c>
      <c r="E37" s="29" t="s">
        <v>132</v>
      </c>
      <c r="F37" s="37">
        <f>+F36/2+F36</f>
        <v>500422.05821549997</v>
      </c>
      <c r="G37" s="37"/>
      <c r="H37" s="37"/>
    </row>
    <row r="38" spans="1:8" x14ac:dyDescent="0.25">
      <c r="A38" s="29">
        <v>27</v>
      </c>
      <c r="C38" s="29" t="s">
        <v>25</v>
      </c>
      <c r="E38" s="29" t="s">
        <v>133</v>
      </c>
      <c r="F38" s="37">
        <f>+I70</f>
        <v>933550.3516950499</v>
      </c>
      <c r="G38" s="37"/>
      <c r="H38" s="37"/>
    </row>
    <row r="39" spans="1:8" x14ac:dyDescent="0.25">
      <c r="A39" s="29">
        <v>28</v>
      </c>
      <c r="C39" s="29" t="s">
        <v>5</v>
      </c>
      <c r="E39" s="29" t="s">
        <v>41</v>
      </c>
      <c r="F39" s="37">
        <f>(+I68-F36)*0.21</f>
        <v>26092.348609540499</v>
      </c>
      <c r="G39" s="37"/>
      <c r="H39" s="37"/>
    </row>
    <row r="40" spans="1:8" x14ac:dyDescent="0.25">
      <c r="A40" s="29">
        <v>29</v>
      </c>
      <c r="C40" s="29" t="s">
        <v>7</v>
      </c>
      <c r="E40" s="29" t="s">
        <v>29</v>
      </c>
      <c r="F40" s="37">
        <f>+(F38-F37)*0.21</f>
        <v>90956.941630705478</v>
      </c>
      <c r="G40" s="37"/>
      <c r="H40" s="37"/>
    </row>
    <row r="41" spans="1:8" x14ac:dyDescent="0.25">
      <c r="A41" s="29">
        <v>30</v>
      </c>
      <c r="C41" s="29" t="s">
        <v>9</v>
      </c>
      <c r="E41" s="29" t="s">
        <v>40</v>
      </c>
      <c r="F41" s="37"/>
      <c r="G41" s="37"/>
      <c r="H41" s="37">
        <f>+H36*0.21</f>
        <v>70059.088150169991</v>
      </c>
    </row>
    <row r="42" spans="1:8" x14ac:dyDescent="0.25">
      <c r="A42" s="29">
        <v>31</v>
      </c>
      <c r="B42" s="64"/>
      <c r="C42" s="29" t="s">
        <v>67</v>
      </c>
      <c r="F42" s="37"/>
      <c r="G42" s="37"/>
      <c r="H42" s="37">
        <f>+F43*0.02336*0.21</f>
        <v>59326.318980178439</v>
      </c>
    </row>
    <row r="43" spans="1:8" x14ac:dyDescent="0.25">
      <c r="A43" s="29">
        <v>32</v>
      </c>
      <c r="C43" s="29" t="s">
        <v>57</v>
      </c>
      <c r="E43" s="29" t="s">
        <v>30</v>
      </c>
      <c r="F43" s="37">
        <f>+F25-F40-F37</f>
        <v>12093590.790153792</v>
      </c>
      <c r="G43" s="37"/>
      <c r="H43" s="37"/>
    </row>
    <row r="44" spans="1:8" x14ac:dyDescent="0.25">
      <c r="A44" s="29">
        <v>33</v>
      </c>
      <c r="C44" s="29" t="s">
        <v>68</v>
      </c>
      <c r="F44" s="38">
        <v>6.9510000000000002E-2</v>
      </c>
    </row>
    <row r="46" spans="1:8" x14ac:dyDescent="0.25">
      <c r="A46" s="29">
        <v>34</v>
      </c>
      <c r="C46" s="29" t="s">
        <v>8</v>
      </c>
      <c r="E46" s="29" t="s">
        <v>43</v>
      </c>
      <c r="F46" s="39">
        <f>+F43*F44</f>
        <v>840625.49582359008</v>
      </c>
      <c r="G46" s="39"/>
      <c r="H46" s="39">
        <f>+H36-H41-H42</f>
        <v>204229.29834665154</v>
      </c>
    </row>
    <row r="47" spans="1:8" x14ac:dyDescent="0.25">
      <c r="A47" s="29">
        <v>35</v>
      </c>
      <c r="C47" s="29" t="s">
        <v>10</v>
      </c>
      <c r="E47" s="29" t="s">
        <v>31</v>
      </c>
      <c r="F47" s="39">
        <f>+F46+H46</f>
        <v>1044854.7941702416</v>
      </c>
      <c r="G47" s="39"/>
      <c r="H47" s="39"/>
    </row>
    <row r="48" spans="1:8" x14ac:dyDescent="0.25">
      <c r="A48" s="29">
        <v>36</v>
      </c>
      <c r="C48" s="29" t="s">
        <v>69</v>
      </c>
      <c r="F48" s="29">
        <v>0.75480999999999998</v>
      </c>
    </row>
    <row r="49" spans="1:16" x14ac:dyDescent="0.25">
      <c r="A49" s="29">
        <v>37</v>
      </c>
      <c r="C49" s="29" t="s">
        <v>15</v>
      </c>
      <c r="E49" s="29" t="s">
        <v>32</v>
      </c>
      <c r="F49" s="75">
        <f>+F47/F48</f>
        <v>1384261.9919850579</v>
      </c>
      <c r="H49" s="75"/>
      <c r="I49" s="39"/>
      <c r="J49" s="39"/>
      <c r="K49" s="39"/>
      <c r="L49" s="39"/>
      <c r="M49" s="39"/>
      <c r="N49" s="39"/>
      <c r="O49" s="39"/>
    </row>
    <row r="50" spans="1:16" x14ac:dyDescent="0.25">
      <c r="A50" s="29">
        <v>38</v>
      </c>
      <c r="C50" s="29" t="s">
        <v>59</v>
      </c>
      <c r="F50" s="75"/>
      <c r="H50" s="75"/>
      <c r="I50" s="39"/>
      <c r="J50" s="39"/>
      <c r="K50" s="39"/>
      <c r="L50" s="39"/>
      <c r="M50" s="39"/>
      <c r="N50" s="39"/>
      <c r="O50" s="39"/>
    </row>
    <row r="51" spans="1:16" x14ac:dyDescent="0.25">
      <c r="H51" s="75"/>
      <c r="I51" s="39"/>
      <c r="J51" s="39"/>
      <c r="K51" s="39"/>
      <c r="L51" s="39"/>
      <c r="M51" s="39"/>
      <c r="N51" s="39"/>
      <c r="O51" s="39"/>
    </row>
    <row r="52" spans="1:16" ht="15.75" thickBot="1" x14ac:dyDescent="0.3">
      <c r="A52" s="29">
        <v>39</v>
      </c>
      <c r="C52" s="29" t="s">
        <v>16</v>
      </c>
      <c r="E52" s="29" t="s">
        <v>42</v>
      </c>
      <c r="F52" s="41">
        <f>+F49+F50</f>
        <v>1384261.9919850579</v>
      </c>
      <c r="H52" s="75"/>
      <c r="I52" s="39"/>
      <c r="J52" s="39"/>
      <c r="K52" s="39"/>
      <c r="L52" s="39"/>
      <c r="M52" s="39"/>
      <c r="N52" s="39"/>
      <c r="O52" s="39"/>
    </row>
    <row r="53" spans="1:16" ht="15.75" thickTop="1" x14ac:dyDescent="0.25">
      <c r="A53" s="29">
        <v>40</v>
      </c>
      <c r="C53" s="29" t="s">
        <v>61</v>
      </c>
      <c r="F53" s="75"/>
      <c r="H53" s="39"/>
      <c r="I53" s="39"/>
      <c r="J53" s="39"/>
      <c r="K53" s="39"/>
      <c r="L53" s="39"/>
      <c r="M53" s="39"/>
      <c r="N53" s="39"/>
      <c r="O53" s="39"/>
      <c r="P53" s="39"/>
    </row>
    <row r="54" spans="1:16" x14ac:dyDescent="0.25">
      <c r="F54" s="75"/>
      <c r="H54" s="75"/>
      <c r="I54" s="39"/>
      <c r="J54" s="39"/>
      <c r="K54" s="39"/>
      <c r="L54" s="39"/>
      <c r="M54" s="39"/>
      <c r="N54" s="39"/>
      <c r="O54" s="39"/>
    </row>
    <row r="55" spans="1:16" x14ac:dyDescent="0.25">
      <c r="A55" s="29">
        <v>41</v>
      </c>
      <c r="C55" s="29" t="s">
        <v>35</v>
      </c>
      <c r="F55" s="75">
        <f>+F52-F53</f>
        <v>1384261.9919850579</v>
      </c>
      <c r="H55" s="75"/>
      <c r="I55" s="39"/>
      <c r="J55" s="39"/>
      <c r="K55" s="39"/>
      <c r="L55" s="39"/>
      <c r="M55" s="39"/>
      <c r="N55" s="39"/>
      <c r="O55" s="39"/>
    </row>
    <row r="56" spans="1:16" x14ac:dyDescent="0.25">
      <c r="H56" s="39"/>
      <c r="I56" s="39"/>
      <c r="J56" s="39"/>
      <c r="K56" s="39"/>
      <c r="L56" s="39"/>
      <c r="M56" s="39"/>
      <c r="N56" s="39"/>
      <c r="O56" s="39"/>
    </row>
    <row r="57" spans="1:16" x14ac:dyDescent="0.25">
      <c r="A57" s="29">
        <v>42</v>
      </c>
      <c r="C57" s="29" t="s">
        <v>13</v>
      </c>
      <c r="E57" s="29" t="s">
        <v>33</v>
      </c>
      <c r="H57" s="39">
        <f t="shared" ref="H57:M57" si="1">+$F$52*H31</f>
        <v>688554.68350467714</v>
      </c>
      <c r="I57" s="39">
        <f t="shared" si="1"/>
        <v>316981.68781418732</v>
      </c>
      <c r="J57" s="39">
        <f t="shared" si="1"/>
        <v>34766.375602796077</v>
      </c>
      <c r="K57" s="39">
        <f t="shared" si="1"/>
        <v>27067.109019214371</v>
      </c>
      <c r="L57" s="39">
        <f t="shared" si="1"/>
        <v>3988.7624249130495</v>
      </c>
      <c r="M57" s="39">
        <f t="shared" si="1"/>
        <v>312903.37361926993</v>
      </c>
      <c r="N57" s="39"/>
      <c r="O57" s="39"/>
    </row>
    <row r="58" spans="1:16" x14ac:dyDescent="0.25">
      <c r="A58" s="29">
        <v>43</v>
      </c>
      <c r="C58" s="29" t="s">
        <v>62</v>
      </c>
      <c r="F58" s="37"/>
      <c r="H58" s="37">
        <v>130528548</v>
      </c>
      <c r="I58" s="37">
        <v>92679715</v>
      </c>
      <c r="J58" s="37">
        <v>13156465</v>
      </c>
      <c r="K58" s="37">
        <v>18010718</v>
      </c>
      <c r="L58" s="37">
        <v>2270481</v>
      </c>
      <c r="M58" s="37">
        <v>621523064</v>
      </c>
      <c r="N58" s="37"/>
      <c r="O58" s="37"/>
    </row>
    <row r="59" spans="1:16" x14ac:dyDescent="0.25">
      <c r="H59" s="37"/>
      <c r="I59" s="37"/>
      <c r="J59" s="37"/>
      <c r="K59" s="37"/>
      <c r="L59" s="37"/>
      <c r="M59" s="37"/>
      <c r="N59" s="37"/>
      <c r="O59" s="37"/>
    </row>
    <row r="60" spans="1:16" x14ac:dyDescent="0.25">
      <c r="H60" s="37"/>
      <c r="I60" s="37"/>
      <c r="J60" s="37"/>
      <c r="K60" s="37"/>
      <c r="L60" s="37"/>
      <c r="M60" s="37"/>
      <c r="N60" s="37"/>
      <c r="O60" s="37"/>
    </row>
    <row r="61" spans="1:16" x14ac:dyDescent="0.25">
      <c r="A61" s="29">
        <v>44</v>
      </c>
      <c r="C61" s="29" t="s">
        <v>18</v>
      </c>
      <c r="E61" s="29" t="s">
        <v>34</v>
      </c>
      <c r="H61" s="42">
        <f>+H57/H58</f>
        <v>5.2751271201199384E-3</v>
      </c>
      <c r="I61" s="42">
        <f>+I57/I58</f>
        <v>3.4201841019276692E-3</v>
      </c>
      <c r="J61" s="42">
        <f>+J57/J58</f>
        <v>2.6425316833052098E-3</v>
      </c>
      <c r="K61" s="42">
        <f t="shared" ref="K61:M61" si="2">+K57/K58</f>
        <v>1.5028334250313826E-3</v>
      </c>
      <c r="L61" s="42">
        <f t="shared" si="2"/>
        <v>1.7567918097147915E-3</v>
      </c>
      <c r="M61" s="42">
        <f t="shared" si="2"/>
        <v>5.0344611767982579E-4</v>
      </c>
      <c r="N61" s="42"/>
      <c r="O61" s="42"/>
    </row>
    <row r="63" spans="1:16" x14ac:dyDescent="0.25">
      <c r="A63" s="29">
        <v>45</v>
      </c>
      <c r="C63" s="29" t="s">
        <v>58</v>
      </c>
      <c r="H63" s="39">
        <v>247324990</v>
      </c>
    </row>
    <row r="64" spans="1:16" x14ac:dyDescent="0.25">
      <c r="A64" s="29">
        <v>46</v>
      </c>
      <c r="C64" s="29" t="s">
        <v>14</v>
      </c>
      <c r="E64" s="29" t="s">
        <v>38</v>
      </c>
      <c r="H64" s="38">
        <f>(+F55)/H63</f>
        <v>5.5969354006041114E-3</v>
      </c>
    </row>
    <row r="65" spans="3:13" x14ac:dyDescent="0.25">
      <c r="H65" s="43"/>
    </row>
    <row r="66" spans="3:13" x14ac:dyDescent="0.25">
      <c r="H66" s="77" t="s">
        <v>130</v>
      </c>
      <c r="I66" s="77"/>
    </row>
    <row r="67" spans="3:13" x14ac:dyDescent="0.25">
      <c r="C67" s="29" t="s">
        <v>127</v>
      </c>
      <c r="D67" s="29" t="s">
        <v>128</v>
      </c>
      <c r="F67" s="76">
        <v>3.7499999999999999E-2</v>
      </c>
      <c r="H67" s="37">
        <f>+F67*F34</f>
        <v>475686.36712499993</v>
      </c>
      <c r="I67" s="37">
        <f>+H67</f>
        <v>475686.36712499993</v>
      </c>
    </row>
    <row r="68" spans="3:13" x14ac:dyDescent="0.25">
      <c r="D68" s="29" t="s">
        <v>129</v>
      </c>
      <c r="F68" s="76">
        <v>7.2190000000000004E-2</v>
      </c>
      <c r="H68" s="37">
        <f>+F34*F68</f>
        <v>915727.96914009994</v>
      </c>
      <c r="I68" s="37">
        <f>+H68/2</f>
        <v>457863.98457004997</v>
      </c>
    </row>
    <row r="69" spans="3:13" x14ac:dyDescent="0.25">
      <c r="H69" s="37"/>
      <c r="I69" s="37"/>
    </row>
    <row r="70" spans="3:13" x14ac:dyDescent="0.25">
      <c r="H70" s="37"/>
      <c r="I70" s="37">
        <f>+I67+I68</f>
        <v>933550.3516950499</v>
      </c>
    </row>
    <row r="71" spans="3:13" x14ac:dyDescent="0.25">
      <c r="H71" s="37"/>
      <c r="I71" s="37"/>
      <c r="J71" s="37"/>
      <c r="K71" s="37"/>
      <c r="L71" s="37"/>
      <c r="M71" s="37"/>
    </row>
    <row r="72" spans="3:13" x14ac:dyDescent="0.25">
      <c r="H72" s="37"/>
      <c r="I72" s="37"/>
      <c r="J72" s="37"/>
      <c r="K72" s="37"/>
      <c r="L72" s="37"/>
      <c r="M72" s="37"/>
    </row>
  </sheetData>
  <mergeCells count="1">
    <mergeCell ref="H66:I66"/>
  </mergeCells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2022-09-01T07:00:00+00:00</OpenedDate>
    <SignificantOrder xmlns="dc463f71-b30c-4ab2-9473-d307f9d35888">false</SignificantOrder>
    <Date1 xmlns="dc463f71-b30c-4ab2-9473-d307f9d35888">2022-09-01T07:00:00+00:00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220664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404F30B2D70243BA60189DF8E380B5" ma:contentTypeVersion="28" ma:contentTypeDescription="" ma:contentTypeScope="" ma:versionID="df3e25a2f6b2c1287c87c0258bfab7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6C26DE-41C4-443F-AAF5-3E31E6BBC9B8}"/>
</file>

<file path=customXml/itemProps2.xml><?xml version="1.0" encoding="utf-8"?>
<ds:datastoreItem xmlns:ds="http://schemas.openxmlformats.org/officeDocument/2006/customXml" ds:itemID="{309B65FE-84B3-4DA7-9DCF-10C74FF0F94C}"/>
</file>

<file path=customXml/itemProps3.xml><?xml version="1.0" encoding="utf-8"?>
<ds:datastoreItem xmlns:ds="http://schemas.openxmlformats.org/officeDocument/2006/customXml" ds:itemID="{FAF505CA-6853-43C2-BAD3-54A00ED9BA46}"/>
</file>

<file path=customXml/itemProps4.xml><?xml version="1.0" encoding="utf-8"?>
<ds:datastoreItem xmlns:ds="http://schemas.openxmlformats.org/officeDocument/2006/customXml" ds:itemID="{46BEACE3-53A2-4938-8E0B-3BF464FBB6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2021 Rate Calculation</vt:lpstr>
      <vt:lpstr>2020 Rate 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Parvinen, Michael</cp:lastModifiedBy>
  <cp:lastPrinted>2019-05-31T15:50:32Z</cp:lastPrinted>
  <dcterms:created xsi:type="dcterms:W3CDTF">2013-05-14T16:54:39Z</dcterms:created>
  <dcterms:modified xsi:type="dcterms:W3CDTF">2022-08-23T16:30:47Z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0x0101006E56B4D1795A2E4DB2F0B01679ED314A002A404F30B2D70243BA60189DF8E380B5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