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PCA Compliance\PCA Annual Report.2021 PCA\2.  Testimony &amp; Exhibits\"/>
    </mc:Choice>
  </mc:AlternateContent>
  <bookViews>
    <workbookView xWindow="0" yWindow="0" windowWidth="25200" windowHeight="11325" tabRatio="864" firstSheet="3" activeTab="3"/>
  </bookViews>
  <sheets>
    <sheet name="Orig" sheetId="1" state="hidden" r:id="rId1"/>
    <sheet name="play" sheetId="2" state="hidden" r:id="rId2"/>
    <sheet name="Reporting- SEF 31" sheetId="3" state="hidden" r:id="rId3"/>
    <sheet name="REDACTED" sheetId="226" r:id="rId4"/>
    <sheet name="Exh. SEF-4 p 1 PPA Costs (R)" sheetId="10" r:id="rId5"/>
    <sheet name="Exh. SEF-4 p 2 Fixed Costs" sheetId="219" r:id="rId6"/>
    <sheet name="Exh. SEF-4 p 3 Liq Damages" sheetId="22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0" l="1"/>
  <c r="B15" i="10" l="1"/>
  <c r="F8" i="10" l="1"/>
  <c r="F13" i="10"/>
  <c r="F15" i="10" s="1"/>
  <c r="F17" i="10" l="1"/>
  <c r="B42" i="10"/>
  <c r="B43" i="10"/>
  <c r="B30" i="10"/>
  <c r="B31" i="10"/>
  <c r="B32" i="10"/>
  <c r="B33" i="10"/>
  <c r="B12" i="10"/>
  <c r="B13" i="10"/>
  <c r="B16" i="10"/>
  <c r="B17" i="10"/>
  <c r="B18" i="10"/>
  <c r="F5" i="220" l="1"/>
  <c r="C6" i="220" s="1"/>
  <c r="F6" i="220" s="1"/>
  <c r="C7" i="220" s="1"/>
  <c r="F7" i="220" s="1"/>
  <c r="C8" i="220" s="1"/>
  <c r="F8" i="220" s="1"/>
  <c r="C9" i="220" s="1"/>
  <c r="F9" i="220" s="1"/>
  <c r="C10" i="220" s="1"/>
  <c r="F10" i="220" s="1"/>
  <c r="C11" i="220" s="1"/>
  <c r="F11" i="220" s="1"/>
  <c r="C12" i="220" s="1"/>
  <c r="F12" i="220" s="1"/>
  <c r="C13" i="220" s="1"/>
  <c r="F13" i="220" s="1"/>
  <c r="C14" i="220" s="1"/>
  <c r="F14" i="220" s="1"/>
  <c r="C15" i="220" s="1"/>
  <c r="F15" i="220" s="1"/>
  <c r="C16" i="220" s="1"/>
  <c r="F16" i="220" s="1"/>
  <c r="Q12" i="219" l="1"/>
  <c r="Q11" i="219"/>
  <c r="Q13" i="219" s="1"/>
  <c r="C5" i="219" s="1"/>
  <c r="Q13" i="10" l="1"/>
  <c r="Q15" i="10" s="1"/>
  <c r="P13" i="10" l="1"/>
  <c r="P15" i="10" s="1"/>
  <c r="O13" i="10" l="1"/>
  <c r="O15" i="10" s="1"/>
  <c r="N13" i="10" l="1"/>
  <c r="N15" i="10" s="1"/>
  <c r="M13" i="10" l="1"/>
  <c r="M15" i="10" s="1"/>
  <c r="L13" i="10" l="1"/>
  <c r="L15" i="10" s="1"/>
  <c r="K13" i="10" l="1"/>
  <c r="K15" i="10" s="1"/>
  <c r="J13" i="10" l="1"/>
  <c r="J15" i="10" s="1"/>
  <c r="I13" i="10" l="1"/>
  <c r="I15" i="10" s="1"/>
  <c r="H13" i="10" l="1"/>
  <c r="H15" i="10" s="1"/>
  <c r="G13" i="10" l="1"/>
  <c r="G15" i="10" l="1"/>
  <c r="G17" i="10" l="1"/>
  <c r="H17" i="10" s="1"/>
  <c r="I17" i="10" s="1"/>
  <c r="J17" i="10" l="1"/>
  <c r="K17" i="10" s="1"/>
  <c r="L17" i="10" s="1"/>
  <c r="M17" i="10" l="1"/>
  <c r="N17" i="10" s="1"/>
  <c r="O17" i="10" s="1"/>
  <c r="P17" i="10" l="1"/>
  <c r="Q17" i="10" s="1"/>
  <c r="R15" i="10" l="1"/>
  <c r="R17" i="10" s="1"/>
  <c r="H25" i="10" l="1"/>
  <c r="B52" i="10" l="1"/>
  <c r="B51" i="10"/>
  <c r="B50" i="10"/>
  <c r="B49" i="10"/>
  <c r="B48" i="10"/>
  <c r="B47" i="10"/>
  <c r="B46" i="10"/>
  <c r="B45" i="10"/>
  <c r="B44" i="10"/>
  <c r="B41" i="10"/>
  <c r="B40" i="10"/>
  <c r="B39" i="10"/>
  <c r="B38" i="10"/>
  <c r="B37" i="10"/>
  <c r="B36" i="10"/>
  <c r="B35" i="10"/>
  <c r="B34" i="10"/>
  <c r="B29" i="10"/>
  <c r="B28" i="10"/>
  <c r="B27" i="10"/>
  <c r="B26" i="10"/>
  <c r="B25" i="10"/>
  <c r="B24" i="10"/>
  <c r="B23" i="10"/>
  <c r="B22" i="10"/>
  <c r="B21" i="10"/>
  <c r="B20" i="10"/>
  <c r="B19" i="10"/>
  <c r="B11" i="10"/>
  <c r="B10" i="10"/>
  <c r="B9" i="10"/>
  <c r="B8" i="10"/>
  <c r="B7" i="10"/>
  <c r="B6" i="10"/>
  <c r="B5" i="10"/>
  <c r="B4" i="10"/>
  <c r="T7" i="10" l="1"/>
  <c r="G25" i="10" l="1"/>
  <c r="R25" i="10" l="1"/>
  <c r="R8" i="10"/>
  <c r="Q8" i="10"/>
  <c r="Q25" i="10"/>
  <c r="M8" i="10"/>
  <c r="M25" i="10"/>
  <c r="I25" i="10"/>
  <c r="I8" i="10"/>
  <c r="N25" i="10"/>
  <c r="N8" i="10"/>
  <c r="P25" i="10"/>
  <c r="P8" i="10"/>
  <c r="L25" i="10"/>
  <c r="L8" i="10"/>
  <c r="H8" i="10"/>
  <c r="J8" i="10"/>
  <c r="J25" i="10"/>
  <c r="G8" i="10"/>
  <c r="T6" i="10"/>
  <c r="O8" i="10"/>
  <c r="O25" i="10"/>
  <c r="K25" i="10"/>
  <c r="K8" i="10"/>
  <c r="T8" i="10" l="1"/>
  <c r="O9" i="10"/>
  <c r="P9" i="10"/>
  <c r="N9" i="10"/>
  <c r="R9" i="10"/>
  <c r="J9" i="10"/>
  <c r="I9" i="10"/>
  <c r="H9" i="10"/>
  <c r="M9" i="10"/>
  <c r="Q9" i="10"/>
  <c r="K9" i="10"/>
  <c r="L9" i="10"/>
  <c r="G10" i="10"/>
  <c r="G9" i="10"/>
  <c r="K27" i="10"/>
  <c r="J27" i="10"/>
  <c r="M27" i="10"/>
  <c r="G27" i="10"/>
  <c r="H27" i="10"/>
  <c r="Q27" i="10"/>
  <c r="P27" i="10"/>
  <c r="I27" i="10"/>
  <c r="O27" i="10"/>
  <c r="L27" i="10"/>
  <c r="N27" i="10"/>
  <c r="R27" i="10"/>
  <c r="I26" i="10"/>
  <c r="I28" i="10"/>
  <c r="P28" i="10"/>
  <c r="P26" i="10"/>
  <c r="G26" i="10"/>
  <c r="G28" i="10"/>
  <c r="H26" i="10"/>
  <c r="H28" i="10"/>
  <c r="Q26" i="10"/>
  <c r="Q28" i="10"/>
  <c r="O28" i="10"/>
  <c r="O26" i="10"/>
  <c r="L26" i="10"/>
  <c r="L28" i="10"/>
  <c r="N26" i="10"/>
  <c r="N28" i="10"/>
  <c r="R26" i="10"/>
  <c r="R28" i="10"/>
  <c r="K26" i="10"/>
  <c r="K28" i="10"/>
  <c r="T25" i="10"/>
  <c r="J26" i="10"/>
  <c r="J28" i="10"/>
  <c r="M28" i="10"/>
  <c r="M26" i="10"/>
  <c r="Q41" i="10" l="1"/>
  <c r="P41" i="10"/>
  <c r="O41" i="10"/>
  <c r="N41" i="10"/>
  <c r="M41" i="10"/>
  <c r="L41" i="10"/>
  <c r="K41" i="10"/>
  <c r="J41" i="10"/>
  <c r="G11" i="10"/>
  <c r="I41" i="10"/>
  <c r="H41" i="10"/>
  <c r="G41" i="10"/>
  <c r="R41" i="10"/>
  <c r="H39" i="10"/>
  <c r="J39" i="10"/>
  <c r="K39" i="10"/>
  <c r="M39" i="10"/>
  <c r="G39" i="10"/>
  <c r="L39" i="10"/>
  <c r="O39" i="10"/>
  <c r="R39" i="10"/>
  <c r="Q39" i="10"/>
  <c r="N39" i="10"/>
  <c r="P39" i="10"/>
  <c r="I39" i="10"/>
  <c r="H10" i="10"/>
  <c r="N40" i="10"/>
  <c r="M40" i="10"/>
  <c r="R40" i="10"/>
  <c r="G40" i="10"/>
  <c r="I40" i="10"/>
  <c r="K40" i="10"/>
  <c r="L40" i="10"/>
  <c r="O40" i="10"/>
  <c r="Q40" i="10"/>
  <c r="P40" i="10"/>
  <c r="J40" i="10"/>
  <c r="H40" i="10"/>
  <c r="T28" i="10"/>
  <c r="T26" i="10"/>
  <c r="Q45" i="10" l="1"/>
  <c r="Q46" i="10"/>
  <c r="P45" i="10"/>
  <c r="P46" i="10"/>
  <c r="O46" i="10"/>
  <c r="O45" i="10"/>
  <c r="N45" i="10"/>
  <c r="N46" i="10"/>
  <c r="M46" i="10"/>
  <c r="M45" i="10"/>
  <c r="L46" i="10"/>
  <c r="L45" i="10"/>
  <c r="K45" i="10"/>
  <c r="K46" i="10"/>
  <c r="J46" i="10"/>
  <c r="J45" i="10"/>
  <c r="H11" i="10"/>
  <c r="I45" i="10"/>
  <c r="I46" i="10"/>
  <c r="H45" i="10"/>
  <c r="H46" i="10"/>
  <c r="G45" i="10"/>
  <c r="G46" i="10"/>
  <c r="R45" i="10"/>
  <c r="R46" i="10"/>
  <c r="I10" i="10"/>
  <c r="T39" i="10"/>
  <c r="T40" i="10"/>
  <c r="T41" i="10"/>
  <c r="J48" i="10" l="1"/>
  <c r="O48" i="10"/>
  <c r="Q48" i="10"/>
  <c r="P48" i="10"/>
  <c r="N48" i="10"/>
  <c r="M48" i="10"/>
  <c r="L48" i="10"/>
  <c r="K48" i="10"/>
  <c r="G48" i="10"/>
  <c r="I48" i="10"/>
  <c r="H48" i="10"/>
  <c r="R48" i="10"/>
  <c r="I11" i="10"/>
  <c r="J10" i="10"/>
  <c r="T27" i="10"/>
  <c r="T46" i="10"/>
  <c r="J11" i="10" l="1"/>
  <c r="K10" i="10"/>
  <c r="Q29" i="3"/>
  <c r="Q30" i="3"/>
  <c r="P14" i="3"/>
  <c r="O14" i="3"/>
  <c r="N14" i="3"/>
  <c r="M14" i="3"/>
  <c r="L14" i="3"/>
  <c r="K14" i="3"/>
  <c r="J14" i="3"/>
  <c r="I14" i="3"/>
  <c r="P13" i="3"/>
  <c r="P24" i="3" s="1"/>
  <c r="O13" i="3"/>
  <c r="N13" i="3"/>
  <c r="N23" i="3" s="1"/>
  <c r="M13" i="3"/>
  <c r="L13" i="3"/>
  <c r="K13" i="3"/>
  <c r="J13" i="3"/>
  <c r="I13" i="3"/>
  <c r="H13" i="3"/>
  <c r="G13" i="3"/>
  <c r="F13" i="3"/>
  <c r="E14" i="3"/>
  <c r="F14" i="3" s="1"/>
  <c r="E13" i="3"/>
  <c r="P5" i="3"/>
  <c r="P25" i="3" s="1"/>
  <c r="O4" i="3"/>
  <c r="O24" i="3" s="1"/>
  <c r="N4" i="3"/>
  <c r="N5" i="3" s="1"/>
  <c r="M4" i="3"/>
  <c r="M8" i="3" s="1"/>
  <c r="L4" i="3"/>
  <c r="L24" i="3" s="1"/>
  <c r="K4" i="3"/>
  <c r="K24" i="3" s="1"/>
  <c r="J4" i="3"/>
  <c r="J5" i="3" s="1"/>
  <c r="I4" i="3"/>
  <c r="I8" i="3" s="1"/>
  <c r="H4" i="3"/>
  <c r="H24" i="3" s="1"/>
  <c r="G4" i="3"/>
  <c r="G24" i="3" s="1"/>
  <c r="F4" i="3"/>
  <c r="F5" i="3" s="1"/>
  <c r="E4" i="3"/>
  <c r="E8" i="3" s="1"/>
  <c r="Q3" i="3"/>
  <c r="K11" i="10" l="1"/>
  <c r="L10" i="10"/>
  <c r="J23" i="3"/>
  <c r="E24" i="3"/>
  <c r="I24" i="3"/>
  <c r="F23" i="3"/>
  <c r="F18" i="3"/>
  <c r="M24" i="3"/>
  <c r="H8" i="3"/>
  <c r="P18" i="3"/>
  <c r="P19" i="3"/>
  <c r="P34" i="3" s="1"/>
  <c r="P20" i="3"/>
  <c r="F24" i="3"/>
  <c r="J24" i="3"/>
  <c r="N24" i="3"/>
  <c r="F25" i="3"/>
  <c r="J25" i="3"/>
  <c r="N25" i="3"/>
  <c r="O8" i="3"/>
  <c r="K8" i="3"/>
  <c r="G8" i="3"/>
  <c r="L8" i="3"/>
  <c r="F20" i="3"/>
  <c r="P23" i="3"/>
  <c r="N8" i="3"/>
  <c r="J8" i="3"/>
  <c r="F8" i="3"/>
  <c r="J18" i="3"/>
  <c r="J20" i="3" s="1"/>
  <c r="N18" i="3"/>
  <c r="N20" i="3" s="1"/>
  <c r="F19" i="3"/>
  <c r="J19" i="3"/>
  <c r="J34" i="3" s="1"/>
  <c r="N19" i="3"/>
  <c r="G14" i="3"/>
  <c r="G5" i="3"/>
  <c r="K5" i="3"/>
  <c r="O5" i="3"/>
  <c r="Q4" i="3"/>
  <c r="Q5" i="3" s="1"/>
  <c r="H5" i="3"/>
  <c r="L5" i="3"/>
  <c r="E5" i="3"/>
  <c r="I5" i="3"/>
  <c r="M5" i="3"/>
  <c r="L11" i="10" l="1"/>
  <c r="M10" i="10"/>
  <c r="N34" i="3"/>
  <c r="Q24" i="3"/>
  <c r="J26" i="3"/>
  <c r="J35" i="3" s="1"/>
  <c r="J33" i="3"/>
  <c r="N26" i="3"/>
  <c r="N35" i="3" s="1"/>
  <c r="N33" i="3"/>
  <c r="N37" i="3" s="1"/>
  <c r="E18" i="3"/>
  <c r="E19" i="3" s="1"/>
  <c r="E34" i="3" s="1"/>
  <c r="E25" i="3"/>
  <c r="E20" i="3"/>
  <c r="E23" i="3"/>
  <c r="P33" i="3"/>
  <c r="P37" i="3" s="1"/>
  <c r="P26" i="3"/>
  <c r="P35" i="3" s="1"/>
  <c r="P8" i="3"/>
  <c r="Q10" i="3"/>
  <c r="L25" i="3"/>
  <c r="L23" i="3"/>
  <c r="L19" i="3"/>
  <c r="L34" i="3" s="1"/>
  <c r="L18" i="3"/>
  <c r="L20" i="3" s="1"/>
  <c r="K25" i="3"/>
  <c r="K23" i="3"/>
  <c r="K19" i="3"/>
  <c r="K34" i="3" s="1"/>
  <c r="K18" i="3"/>
  <c r="K20" i="3" s="1"/>
  <c r="F33" i="3"/>
  <c r="F37" i="3" s="1"/>
  <c r="F26" i="3"/>
  <c r="F35" i="3" s="1"/>
  <c r="I23" i="3"/>
  <c r="I19" i="3"/>
  <c r="I34" i="3" s="1"/>
  <c r="I18" i="3"/>
  <c r="I20" i="3" s="1"/>
  <c r="I25" i="3"/>
  <c r="O25" i="3"/>
  <c r="O20" i="3"/>
  <c r="O23" i="3"/>
  <c r="O18" i="3"/>
  <c r="O19" i="3" s="1"/>
  <c r="O34" i="3" s="1"/>
  <c r="M23" i="3"/>
  <c r="M19" i="3"/>
  <c r="M34" i="3" s="1"/>
  <c r="M18" i="3"/>
  <c r="M20" i="3" s="1"/>
  <c r="M25" i="3"/>
  <c r="H25" i="3"/>
  <c r="H23" i="3"/>
  <c r="H19" i="3"/>
  <c r="H34" i="3" s="1"/>
  <c r="G20" i="3"/>
  <c r="G25" i="3"/>
  <c r="G23" i="3"/>
  <c r="F34" i="3"/>
  <c r="Q9" i="3"/>
  <c r="Q8" i="3"/>
  <c r="G18" i="3"/>
  <c r="G19" i="3" s="1"/>
  <c r="G34" i="3" s="1"/>
  <c r="H14" i="3"/>
  <c r="H18" i="3" s="1"/>
  <c r="H20" i="3" s="1"/>
  <c r="M11" i="10" l="1"/>
  <c r="N10" i="10"/>
  <c r="J37" i="3"/>
  <c r="I33" i="3"/>
  <c r="I26" i="3"/>
  <c r="Q34" i="3"/>
  <c r="M33" i="3"/>
  <c r="M26" i="3"/>
  <c r="K33" i="3"/>
  <c r="K26" i="3"/>
  <c r="K35" i="3" s="1"/>
  <c r="L33" i="3"/>
  <c r="L26" i="3"/>
  <c r="L35" i="3" s="1"/>
  <c r="Q23" i="3"/>
  <c r="M35" i="3"/>
  <c r="E33" i="3"/>
  <c r="E26" i="3"/>
  <c r="E35" i="3"/>
  <c r="Q25" i="3"/>
  <c r="H33" i="3"/>
  <c r="H37" i="3" s="1"/>
  <c r="H26" i="3"/>
  <c r="H35" i="3" s="1"/>
  <c r="G26" i="3"/>
  <c r="G35" i="3" s="1"/>
  <c r="G33" i="3"/>
  <c r="G37" i="3" s="1"/>
  <c r="O26" i="3"/>
  <c r="O35" i="3" s="1"/>
  <c r="O33" i="3"/>
  <c r="O37" i="3" s="1"/>
  <c r="I35" i="3"/>
  <c r="Q20" i="3"/>
  <c r="Q19" i="3"/>
  <c r="Q18" i="3"/>
  <c r="N11" i="10" l="1"/>
  <c r="O10" i="10"/>
  <c r="K37" i="3"/>
  <c r="I37" i="3"/>
  <c r="E37" i="3"/>
  <c r="Q37" i="3" s="1"/>
  <c r="L37" i="3"/>
  <c r="M37" i="3"/>
  <c r="Q35" i="3"/>
  <c r="Q33" i="3"/>
  <c r="Q26" i="3"/>
  <c r="P10" i="10" l="1"/>
  <c r="O11" i="10"/>
  <c r="P11" i="10" l="1"/>
  <c r="Q10" i="10"/>
  <c r="I22" i="2"/>
  <c r="H23" i="2" s="1"/>
  <c r="H21" i="2"/>
  <c r="E14" i="2"/>
  <c r="D14" i="2"/>
  <c r="C14" i="2"/>
  <c r="H20" i="2"/>
  <c r="H13" i="2"/>
  <c r="I14" i="2" s="1"/>
  <c r="J14" i="2"/>
  <c r="Q11" i="10" l="1"/>
  <c r="R10" i="10"/>
  <c r="I12" i="2"/>
  <c r="R11" i="10" l="1"/>
  <c r="H11" i="2"/>
  <c r="H10" i="2"/>
  <c r="T48" i="10" l="1"/>
  <c r="T45" i="10"/>
</calcChain>
</file>

<file path=xl/comments1.xml><?xml version="1.0" encoding="utf-8"?>
<comments xmlns="http://schemas.openxmlformats.org/spreadsheetml/2006/main">
  <authors>
    <author>Moore, Annette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</rPr>
          <t>Moore, Annette:</t>
        </r>
        <r>
          <rPr>
            <sz val="9"/>
            <color indexed="81"/>
            <rFont val="Tahoma"/>
            <family val="2"/>
          </rPr>
          <t xml:space="preserve">
Price updated for $12.15 of Compensable Curtailments</t>
        </r>
      </text>
    </comment>
  </commentList>
</comments>
</file>

<file path=xl/sharedStrings.xml><?xml version="1.0" encoding="utf-8"?>
<sst xmlns="http://schemas.openxmlformats.org/spreadsheetml/2006/main" count="265" uniqueCount="173">
  <si>
    <t>Over Generates</t>
  </si>
  <si>
    <t>Under Generates</t>
  </si>
  <si>
    <t>PCA?</t>
  </si>
  <si>
    <t>No</t>
  </si>
  <si>
    <t>Situation</t>
  </si>
  <si>
    <t>Event</t>
  </si>
  <si>
    <t>Do What</t>
  </si>
  <si>
    <t>Would sell on the market or use for native load</t>
  </si>
  <si>
    <t>Debit to 555 GD</t>
  </si>
  <si>
    <t>Up to the amount of GD usage</t>
  </si>
  <si>
    <t>Amount above the GD usage</t>
  </si>
  <si>
    <t>Debit to 555 PSE</t>
  </si>
  <si>
    <t>Credit to STOU</t>
  </si>
  <si>
    <t>Original Entry</t>
  </si>
  <si>
    <t>Remove that STOU associated with Green Power PPA</t>
  </si>
  <si>
    <t>Debit to 555 PCA</t>
  </si>
  <si>
    <t>Yes</t>
  </si>
  <si>
    <t>Creidt to 555 PSE</t>
  </si>
  <si>
    <t>Price</t>
  </si>
  <si>
    <t>PPA</t>
  </si>
  <si>
    <t>MKT</t>
  </si>
  <si>
    <t>Actual</t>
  </si>
  <si>
    <t>Notes</t>
  </si>
  <si>
    <t>Purchase additional energy to use load</t>
  </si>
  <si>
    <t>Remove Purchase of additional energy for GD</t>
  </si>
  <si>
    <t>Credit to 555 PCA</t>
  </si>
  <si>
    <t>REC Purchase</t>
  </si>
  <si>
    <t>REC Sale?</t>
  </si>
  <si>
    <t>Timing unknown; PSE or 3rd Party?</t>
  </si>
  <si>
    <t>Debit to 557 GD</t>
  </si>
  <si>
    <t>Liquidated Damages?</t>
  </si>
  <si>
    <t>MWh</t>
  </si>
  <si>
    <t>Price type</t>
  </si>
  <si>
    <t>Action</t>
  </si>
  <si>
    <t>Debit</t>
  </si>
  <si>
    <t>Credit</t>
  </si>
  <si>
    <t>Account</t>
  </si>
  <si>
    <t>555 PSE</t>
  </si>
  <si>
    <t>447 PSE</t>
  </si>
  <si>
    <t>cash</t>
  </si>
  <si>
    <t>Entry 1</t>
  </si>
  <si>
    <t>Entry 2</t>
  </si>
  <si>
    <t>Entry 3</t>
  </si>
  <si>
    <t>Entry 4</t>
  </si>
  <si>
    <t>Entry 5</t>
  </si>
  <si>
    <t>139 Load = 100 MWh</t>
  </si>
  <si>
    <t>Over Generates by 20 MWh</t>
  </si>
  <si>
    <t xml:space="preserve">555 GD </t>
  </si>
  <si>
    <t>555 PCA</t>
  </si>
  <si>
    <t>Offset STOU with purchase price</t>
  </si>
  <si>
    <t>Acctg will have to calc Load for 139</t>
  </si>
  <si>
    <t>EA will have to take overage and record to PSE</t>
  </si>
  <si>
    <t>No manual action</t>
  </si>
  <si>
    <t>Manual entry to remove STOU</t>
  </si>
  <si>
    <t>Under Generates by 20 MWh</t>
  </si>
  <si>
    <t>below</t>
  </si>
  <si>
    <t>above</t>
  </si>
  <si>
    <t>Offset Purchase with sales price</t>
  </si>
  <si>
    <t>REC Purchase?</t>
  </si>
  <si>
    <t>PPAs not in BLR</t>
  </si>
  <si>
    <t>Manual entry to offset STOU removal</t>
  </si>
  <si>
    <t>Manual entry to offset mkt purchase removal</t>
  </si>
  <si>
    <t>Manual entry to remove mkt purchase</t>
  </si>
  <si>
    <t>"  "</t>
  </si>
  <si>
    <t>Resource not prudent for all customers</t>
  </si>
  <si>
    <t>Schedule 139 Revenue &amp; Energy Costs</t>
  </si>
  <si>
    <t>PCA period Schedule 139 delivered load (Kwh)</t>
  </si>
  <si>
    <t>Renewable Energy PPAs net of losses (Generated Kwhs)</t>
  </si>
  <si>
    <t>(Short)/Excess Renewable Energy Generated (Kwh)</t>
  </si>
  <si>
    <t>PPA RECs for Schedule 139 Customers</t>
  </si>
  <si>
    <t>Green Direct</t>
  </si>
  <si>
    <t>Market Rate</t>
  </si>
  <si>
    <t>PPA Rate</t>
  </si>
  <si>
    <t>Period</t>
  </si>
  <si>
    <t>to Date</t>
  </si>
  <si>
    <t>PCA Total allowable costs</t>
  </si>
  <si>
    <t>Green Direct Power Costs</t>
  </si>
  <si>
    <t>Net Green Direct Power Costs</t>
  </si>
  <si>
    <t>Net PCA Power Costs</t>
  </si>
  <si>
    <t>PCA Power Costs</t>
  </si>
  <si>
    <t>check</t>
  </si>
  <si>
    <t>PSE REC Costs</t>
  </si>
  <si>
    <t>Green Direct REC Costs</t>
  </si>
  <si>
    <t>RECs purchased for Schedule 139 customers*</t>
  </si>
  <si>
    <t>RECs for PSE optimization*</t>
  </si>
  <si>
    <t>*Measured on an annual basis</t>
  </si>
  <si>
    <t>Initial Amount:</t>
  </si>
  <si>
    <t>Total:</t>
  </si>
  <si>
    <t>BTL Excess Purchase Costs</t>
  </si>
  <si>
    <t>BTL</t>
  </si>
  <si>
    <t>Net BTL Power Cost</t>
  </si>
  <si>
    <t>PCA Excess PPA Power Sold to Other Utilities</t>
  </si>
  <si>
    <t>RECs</t>
  </si>
  <si>
    <t>Power Prices</t>
  </si>
  <si>
    <t>Power Costs (555)</t>
  </si>
  <si>
    <t>Adjustment:</t>
  </si>
  <si>
    <t>REC Costs: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</si>
  <si>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Amounts measured quarterly</t>
    </r>
  </si>
  <si>
    <t>PPA Cost - Green Direct Customer Usage</t>
  </si>
  <si>
    <t>Mkt Purchases for Short</t>
  </si>
  <si>
    <t>When</t>
  </si>
  <si>
    <t>Long</t>
  </si>
  <si>
    <t>Short</t>
  </si>
  <si>
    <t>Always</t>
  </si>
  <si>
    <t>Required Journal Entries based on Monthly Actual Information</t>
  </si>
  <si>
    <t>Net PCA Power Costs (this should be zero)</t>
  </si>
  <si>
    <t>Mechanism</t>
  </si>
  <si>
    <t>GD</t>
  </si>
  <si>
    <t>PCA</t>
  </si>
  <si>
    <t>Power Costs Originally Recorded</t>
  </si>
  <si>
    <t>Reclassing Short Purchases or Long Sales Out of PCA to GD</t>
  </si>
  <si>
    <t>Green Direct Short Purchases</t>
  </si>
  <si>
    <t>Green Direct Long Sales</t>
  </si>
  <si>
    <t>If generation is short for the month, move purchases out of PCA</t>
  </si>
  <si>
    <t>If generation is cumulatively long at a quarter end, bank recs; otherwise no recs to record</t>
  </si>
  <si>
    <t>In Summary:</t>
  </si>
  <si>
    <t>If generation is long for the month, move sales of excess generation out of PCA</t>
  </si>
  <si>
    <t>check:  Should equal amount of REC transactions</t>
  </si>
  <si>
    <t>Energy Costs</t>
  </si>
  <si>
    <t>PPA Rate per kWh</t>
  </si>
  <si>
    <t>Cumulative (Short)/Excess Renewable Energy Generated (kWh)</t>
  </si>
  <si>
    <t>(Short)/Excess Renewable Energy Generated (kWh)</t>
  </si>
  <si>
    <t>Renewable Energy PPAs net of losses (Generated kWhs)</t>
  </si>
  <si>
    <t>PPA Cost - Generation Above Green Direct Usage</t>
  </si>
  <si>
    <t>Sale of Excess PPA Generation</t>
  </si>
  <si>
    <t>Market Rate per kWh (Average Day Ahead Index for the Month)</t>
  </si>
  <si>
    <t>Green Direct Monthly Assumed Actual Information</t>
  </si>
  <si>
    <t>PCA period Green Direct Customers delivered load usage (kWh)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</si>
  <si>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</si>
  <si>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</si>
  <si>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</si>
  <si>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</si>
  <si>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</si>
  <si>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</si>
  <si>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</si>
  <si>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</si>
  <si>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</si>
  <si>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</si>
  <si>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</si>
  <si>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</si>
  <si>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Ending Balance</t>
  </si>
  <si>
    <t>Liquidated Damages Usage</t>
  </si>
  <si>
    <t>Liquidated Damages Additons</t>
  </si>
  <si>
    <t>Beginning Balance</t>
  </si>
  <si>
    <t>Reporting for the Treatment of the Schedule 139, Voluntary Long Term Renewable Energy Purchase Rider (“Green Direct Program”)</t>
  </si>
  <si>
    <t>2021 Liquidated Damages Activity</t>
  </si>
  <si>
    <t>Work Order</t>
  </si>
  <si>
    <t>WBS</t>
  </si>
  <si>
    <t>Description</t>
  </si>
  <si>
    <t>Totals</t>
  </si>
  <si>
    <t>C.99999.03.37.01</t>
  </si>
  <si>
    <t>Admin</t>
  </si>
  <si>
    <t>Outside Services</t>
  </si>
  <si>
    <t xml:space="preserve">Reporting for the Treatment of the Schedule 139, Voluntary Long Term Renewable </t>
  </si>
  <si>
    <t>Energy Purchase Rider (“Green Direct Program”)</t>
  </si>
  <si>
    <t>2021 Fixed Costs</t>
  </si>
  <si>
    <t>Employee Labor</t>
  </si>
  <si>
    <t>Depreciation</t>
  </si>
  <si>
    <t>PPA RECs for Green Direct Customers</t>
  </si>
  <si>
    <t>RECs purchased for Green Direct Customers*</t>
  </si>
  <si>
    <r>
      <t>RECs banked for Green Direct Customers</t>
    </r>
    <r>
      <rPr>
        <vertAlign val="superscript"/>
        <sz val="10"/>
        <rFont val="Arial"/>
        <family val="2"/>
      </rPr>
      <t>1</t>
    </r>
  </si>
  <si>
    <t>Additional REC Costs Originally Recorded</t>
  </si>
  <si>
    <t>Green Direct Unbundled REC Purchases</t>
  </si>
  <si>
    <t xml:space="preserve">Short </t>
  </si>
  <si>
    <t>PPA RECs per Generated MWhs</t>
  </si>
  <si>
    <t>Dec 2020 Bal</t>
  </si>
  <si>
    <t>GD Excess REC Inventory Value SAP GL Acct 17400051</t>
  </si>
  <si>
    <t xml:space="preserve">     Less reconciling difference</t>
  </si>
  <si>
    <t>(Cumulative)</t>
  </si>
  <si>
    <t>2021 PPA Costs</t>
  </si>
  <si>
    <t>REDACTED VERSION</t>
  </si>
  <si>
    <t>This file contains confidential information</t>
  </si>
  <si>
    <t>Shaded information is designated as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</si>
</sst>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&quot;$&quot;#,##0.00000_);\(&quot;$&quot;#,##0.00000\);\–_);&quot;–&quot;_)"/>
    <numFmt numFmtId="167" formatCode="###,000"/>
    <numFmt numFmtId="168" formatCode="&quot;$&quot;#,##0.00"/>
    <numFmt numFmtId="169" formatCode="0.00000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0"/>
      <color rgb="FF0066FF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i/>
      <sz val="10"/>
      <name val="Arial"/>
      <family val="2"/>
    </font>
    <font>
      <b/>
      <i/>
      <sz val="10"/>
      <color rgb="FF0000FF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2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 style="thick">
        <color rgb="FFFFFF00"/>
      </top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FF66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56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2" applyNumberFormat="0" applyAlignment="0" applyProtection="0">
      <alignment horizontal="left" vertical="center" indent="1"/>
    </xf>
    <xf numFmtId="167" fontId="21" fillId="6" borderId="2" applyNumberFormat="0" applyAlignment="0" applyProtection="0">
      <alignment horizontal="left" vertical="center" indent="1"/>
    </xf>
    <xf numFmtId="167" fontId="21" fillId="0" borderId="3" applyNumberFormat="0" applyProtection="0">
      <alignment horizontal="right" vertical="center"/>
    </xf>
    <xf numFmtId="0" fontId="16" fillId="0" borderId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8" applyNumberFormat="0" applyAlignment="0" applyProtection="0"/>
    <xf numFmtId="0" fontId="33" fillId="11" borderId="9" applyNumberFormat="0" applyAlignment="0" applyProtection="0"/>
    <xf numFmtId="0" fontId="34" fillId="11" borderId="8" applyNumberFormat="0" applyAlignment="0" applyProtection="0"/>
    <xf numFmtId="0" fontId="35" fillId="0" borderId="10" applyNumberFormat="0" applyFill="0" applyAlignment="0" applyProtection="0"/>
    <xf numFmtId="0" fontId="36" fillId="12" borderId="11" applyNumberFormat="0" applyAlignment="0" applyProtection="0"/>
    <xf numFmtId="0" fontId="37" fillId="0" borderId="0" applyNumberFormat="0" applyFill="0" applyBorder="0" applyAlignment="0" applyProtection="0"/>
    <xf numFmtId="0" fontId="17" fillId="13" borderId="12" applyNumberFormat="0" applyFont="0" applyAlignment="0" applyProtection="0"/>
    <xf numFmtId="0" fontId="3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9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39" fillId="37" borderId="0" applyNumberFormat="0" applyBorder="0" applyAlignment="0" applyProtection="0"/>
    <xf numFmtId="0" fontId="40" fillId="12" borderId="11" applyNumberFormat="0" applyAlignment="0" applyProtection="0"/>
    <xf numFmtId="9" fontId="3" fillId="0" borderId="0" applyFont="0" applyFill="0" applyBorder="0" applyAlignment="0" applyProtection="0"/>
    <xf numFmtId="169" fontId="4" fillId="0" borderId="0">
      <alignment horizontal="left" wrapText="1"/>
    </xf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Continuous"/>
    </xf>
    <xf numFmtId="5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/>
    </xf>
    <xf numFmtId="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NumberFormat="1" applyFont="1" applyAlignment="1"/>
    <xf numFmtId="0" fontId="4" fillId="0" borderId="0" xfId="0" applyNumberFormat="1" applyFont="1" applyFill="1" applyAlignment="1">
      <alignment wrapText="1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17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0" fontId="6" fillId="0" borderId="0" xfId="0" applyNumberFormat="1" applyFont="1" applyAlignment="1"/>
    <xf numFmtId="0" fontId="4" fillId="0" borderId="0" xfId="0" quotePrefix="1" applyNumberFormat="1" applyFont="1" applyAlignment="1" applyProtection="1">
      <alignment horizontal="left"/>
      <protection locked="0"/>
    </xf>
    <xf numFmtId="164" fontId="4" fillId="0" borderId="0" xfId="1" applyNumberFormat="1" applyFont="1" applyFill="1" applyBorder="1" applyAlignment="1">
      <alignment wrapText="1"/>
    </xf>
    <xf numFmtId="164" fontId="4" fillId="0" borderId="0" xfId="0" applyNumberFormat="1" applyFont="1" applyAlignment="1"/>
    <xf numFmtId="0" fontId="4" fillId="0" borderId="0" xfId="0" applyNumberFormat="1" applyFont="1" applyAlignment="1" applyProtection="1">
      <alignment horizontal="left"/>
      <protection locked="0"/>
    </xf>
    <xf numFmtId="164" fontId="4" fillId="0" borderId="1" xfId="1" applyNumberFormat="1" applyFont="1" applyFill="1" applyBorder="1" applyAlignment="1">
      <alignment wrapText="1"/>
    </xf>
    <xf numFmtId="164" fontId="4" fillId="0" borderId="1" xfId="0" applyNumberFormat="1" applyFont="1" applyBorder="1" applyAlignment="1"/>
    <xf numFmtId="165" fontId="4" fillId="0" borderId="0" xfId="0" applyNumberFormat="1" applyFont="1" applyAlignment="1"/>
    <xf numFmtId="0" fontId="5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64" fontId="4" fillId="0" borderId="0" xfId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5" fontId="4" fillId="0" borderId="0" xfId="0" applyNumberFormat="1" applyFont="1" applyBorder="1"/>
    <xf numFmtId="0" fontId="1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NumberFormat="1" applyFont="1" applyFill="1" applyAlignment="1"/>
    <xf numFmtId="5" fontId="4" fillId="0" borderId="0" xfId="0" applyNumberFormat="1" applyFont="1" applyFill="1" applyAlignment="1"/>
    <xf numFmtId="0" fontId="5" fillId="0" borderId="0" xfId="0" applyNumberFormat="1" applyFont="1" applyFill="1" applyAlignment="1"/>
    <xf numFmtId="5" fontId="4" fillId="0" borderId="0" xfId="0" applyNumberFormat="1" applyFont="1" applyFill="1"/>
    <xf numFmtId="0" fontId="7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4" fillId="4" borderId="0" xfId="0" applyFont="1" applyFill="1"/>
    <xf numFmtId="0" fontId="13" fillId="4" borderId="0" xfId="0" applyFont="1" applyFill="1"/>
    <xf numFmtId="0" fontId="5" fillId="4" borderId="0" xfId="0" applyFont="1" applyFill="1"/>
    <xf numFmtId="0" fontId="5" fillId="4" borderId="0" xfId="0" applyNumberFormat="1" applyFont="1" applyFill="1" applyBorder="1" applyAlignment="1">
      <alignment horizontal="centerContinuous"/>
    </xf>
    <xf numFmtId="0" fontId="6" fillId="4" borderId="0" xfId="0" applyNumberFormat="1" applyFont="1" applyFill="1" applyAlignment="1"/>
    <xf numFmtId="0" fontId="4" fillId="4" borderId="0" xfId="0" applyNumberFormat="1" applyFont="1" applyFill="1" applyAlignment="1"/>
    <xf numFmtId="17" fontId="5" fillId="4" borderId="0" xfId="0" applyNumberFormat="1" applyFont="1" applyFill="1" applyBorder="1" applyAlignment="1">
      <alignment horizontal="center"/>
    </xf>
    <xf numFmtId="0" fontId="4" fillId="4" borderId="0" xfId="0" quotePrefix="1" applyNumberFormat="1" applyFont="1" applyFill="1" applyAlignment="1" applyProtection="1">
      <alignment horizontal="left"/>
      <protection locked="0"/>
    </xf>
    <xf numFmtId="0" fontId="4" fillId="4" borderId="0" xfId="0" applyNumberFormat="1" applyFont="1" applyFill="1" applyAlignment="1">
      <alignment wrapText="1"/>
    </xf>
    <xf numFmtId="164" fontId="4" fillId="4" borderId="0" xfId="1" applyNumberFormat="1" applyFont="1" applyFill="1" applyBorder="1" applyAlignment="1">
      <alignment wrapText="1"/>
    </xf>
    <xf numFmtId="0" fontId="4" fillId="4" borderId="0" xfId="0" applyNumberFormat="1" applyFont="1" applyFill="1" applyAlignment="1" applyProtection="1">
      <alignment horizontal="left"/>
      <protection locked="0"/>
    </xf>
    <xf numFmtId="0" fontId="4" fillId="4" borderId="0" xfId="0" applyNumberFormat="1" applyFont="1" applyFill="1" applyBorder="1" applyAlignment="1"/>
    <xf numFmtId="164" fontId="4" fillId="4" borderId="1" xfId="0" applyNumberFormat="1" applyFont="1" applyFill="1" applyBorder="1" applyAlignment="1"/>
    <xf numFmtId="164" fontId="4" fillId="4" borderId="0" xfId="0" applyNumberFormat="1" applyFont="1" applyFill="1" applyAlignment="1"/>
    <xf numFmtId="164" fontId="11" fillId="4" borderId="0" xfId="0" applyNumberFormat="1" applyFont="1" applyFill="1" applyAlignment="1">
      <alignment horizontal="center"/>
    </xf>
    <xf numFmtId="0" fontId="9" fillId="4" borderId="0" xfId="0" applyNumberFormat="1" applyFont="1" applyFill="1" applyAlignment="1">
      <alignment horizontal="right"/>
    </xf>
    <xf numFmtId="0" fontId="9" fillId="4" borderId="0" xfId="0" applyNumberFormat="1" applyFont="1" applyFill="1" applyAlignment="1"/>
    <xf numFmtId="0" fontId="10" fillId="4" borderId="0" xfId="0" applyNumberFormat="1" applyFont="1" applyFill="1" applyAlignment="1"/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/>
    <xf numFmtId="0" fontId="6" fillId="4" borderId="0" xfId="0" applyFont="1" applyFill="1"/>
    <xf numFmtId="166" fontId="4" fillId="4" borderId="0" xfId="0" applyNumberFormat="1" applyFont="1" applyFill="1" applyAlignment="1"/>
    <xf numFmtId="165" fontId="4" fillId="4" borderId="0" xfId="0" applyNumberFormat="1" applyFont="1" applyFill="1" applyAlignment="1"/>
    <xf numFmtId="0" fontId="14" fillId="4" borderId="0" xfId="0" applyNumberFormat="1" applyFont="1" applyFill="1" applyAlignment="1">
      <alignment horizontal="center"/>
    </xf>
    <xf numFmtId="0" fontId="12" fillId="4" borderId="0" xfId="0" applyNumberFormat="1" applyFont="1" applyFill="1" applyAlignment="1"/>
    <xf numFmtId="5" fontId="4" fillId="4" borderId="0" xfId="0" applyNumberFormat="1" applyFont="1" applyFill="1" applyAlignment="1"/>
    <xf numFmtId="0" fontId="4" fillId="4" borderId="0" xfId="0" applyFont="1" applyFill="1" applyBorder="1"/>
    <xf numFmtId="0" fontId="22" fillId="4" borderId="0" xfId="0" applyNumberFormat="1" applyFont="1" applyFill="1" applyAlignment="1">
      <alignment horizontal="right" wrapText="1"/>
    </xf>
    <xf numFmtId="0" fontId="22" fillId="4" borderId="0" xfId="0" applyNumberFormat="1" applyFont="1" applyFill="1" applyBorder="1" applyAlignment="1">
      <alignment horizontal="right"/>
    </xf>
    <xf numFmtId="0" fontId="22" fillId="4" borderId="0" xfId="0" applyNumberFormat="1" applyFont="1" applyFill="1" applyAlignment="1">
      <alignment horizontal="right"/>
    </xf>
    <xf numFmtId="0" fontId="22" fillId="4" borderId="0" xfId="0" applyFont="1" applyFill="1" applyAlignment="1">
      <alignment horizontal="right"/>
    </xf>
    <xf numFmtId="0" fontId="22" fillId="0" borderId="0" xfId="0" applyFont="1"/>
    <xf numFmtId="164" fontId="17" fillId="0" borderId="0" xfId="1" applyNumberFormat="1" applyFont="1"/>
    <xf numFmtId="7" fontId="4" fillId="0" borderId="0" xfId="0" applyNumberFormat="1" applyFont="1"/>
    <xf numFmtId="0" fontId="17" fillId="0" borderId="0" xfId="0" applyFont="1"/>
    <xf numFmtId="164" fontId="17" fillId="0" borderId="0" xfId="0" applyNumberFormat="1" applyFont="1"/>
    <xf numFmtId="0" fontId="18" fillId="0" borderId="0" xfId="0" applyFont="1"/>
    <xf numFmtId="0" fontId="41" fillId="38" borderId="14" xfId="0" applyFont="1" applyFill="1" applyBorder="1" applyAlignment="1">
      <alignment vertical="center"/>
    </xf>
    <xf numFmtId="0" fontId="41" fillId="38" borderId="15" xfId="0" applyFont="1" applyFill="1" applyBorder="1" applyAlignment="1">
      <alignment vertical="center"/>
    </xf>
    <xf numFmtId="17" fontId="40" fillId="12" borderId="14" xfId="53" applyNumberFormat="1" applyBorder="1"/>
    <xf numFmtId="0" fontId="40" fillId="12" borderId="14" xfId="53" applyBorder="1" applyAlignment="1">
      <alignment horizontal="right"/>
    </xf>
    <xf numFmtId="0" fontId="42" fillId="0" borderId="16" xfId="0" applyFont="1" applyBorder="1" applyAlignment="1">
      <alignment horizontal="right" vertical="center"/>
    </xf>
    <xf numFmtId="0" fontId="42" fillId="0" borderId="16" xfId="0" applyFont="1" applyBorder="1" applyAlignment="1">
      <alignment vertical="center"/>
    </xf>
    <xf numFmtId="168" fontId="0" fillId="0" borderId="16" xfId="0" applyNumberFormat="1" applyBorder="1"/>
    <xf numFmtId="168" fontId="1" fillId="0" borderId="16" xfId="0" applyNumberFormat="1" applyFont="1" applyBorder="1"/>
    <xf numFmtId="168" fontId="0" fillId="0" borderId="0" xfId="0" applyNumberFormat="1"/>
    <xf numFmtId="41" fontId="0" fillId="0" borderId="0" xfId="0" applyNumberFormat="1"/>
    <xf numFmtId="4" fontId="0" fillId="0" borderId="0" xfId="0" applyNumberFormat="1" applyAlignment="1">
      <alignment horizontal="right" vertical="top"/>
    </xf>
    <xf numFmtId="164" fontId="0" fillId="0" borderId="0" xfId="1" applyNumberFormat="1" applyFont="1" applyAlignment="1">
      <alignment horizontal="right" vertical="top"/>
    </xf>
    <xf numFmtId="164" fontId="22" fillId="4" borderId="0" xfId="1" applyNumberFormat="1" applyFont="1" applyFill="1" applyAlignment="1">
      <alignment horizontal="right"/>
    </xf>
    <xf numFmtId="164" fontId="4" fillId="4" borderId="4" xfId="0" applyNumberFormat="1" applyFont="1" applyFill="1" applyBorder="1" applyAlignment="1"/>
    <xf numFmtId="164" fontId="4" fillId="4" borderId="1" xfId="1" applyNumberFormat="1" applyFont="1" applyFill="1" applyBorder="1" applyAlignment="1">
      <alignment wrapText="1"/>
    </xf>
    <xf numFmtId="8" fontId="4" fillId="0" borderId="0" xfId="0" applyNumberFormat="1" applyFont="1"/>
    <xf numFmtId="164" fontId="11" fillId="4" borderId="0" xfId="0" applyNumberFormat="1" applyFont="1" applyFill="1" applyAlignment="1">
      <alignment horizontal="center" wrapText="1"/>
    </xf>
    <xf numFmtId="164" fontId="11" fillId="0" borderId="0" xfId="0" applyNumberFormat="1" applyFont="1" applyFill="1" applyAlignment="1">
      <alignment horizontal="center"/>
    </xf>
    <xf numFmtId="164" fontId="4" fillId="4" borderId="0" xfId="1" applyNumberFormat="1" applyFont="1" applyFill="1" applyAlignment="1"/>
    <xf numFmtId="0" fontId="5" fillId="4" borderId="0" xfId="0" applyNumberFormat="1" applyFont="1" applyFill="1" applyBorder="1" applyAlignment="1">
      <alignment horizontal="center"/>
    </xf>
    <xf numFmtId="164" fontId="43" fillId="4" borderId="0" xfId="1" applyNumberFormat="1" applyFont="1" applyFill="1" applyAlignment="1">
      <alignment horizontal="center"/>
    </xf>
    <xf numFmtId="164" fontId="15" fillId="0" borderId="0" xfId="1" applyNumberFormat="1" applyFont="1"/>
    <xf numFmtId="9" fontId="44" fillId="0" borderId="0" xfId="54" applyFont="1"/>
    <xf numFmtId="164" fontId="5" fillId="4" borderId="0" xfId="0" applyNumberFormat="1" applyFont="1" applyFill="1" applyAlignment="1">
      <alignment horizontal="right"/>
    </xf>
    <xf numFmtId="164" fontId="10" fillId="4" borderId="0" xfId="0" applyNumberFormat="1" applyFont="1" applyFill="1" applyAlignment="1"/>
    <xf numFmtId="164" fontId="4" fillId="4" borderId="0" xfId="0" applyNumberFormat="1" applyFont="1" applyFill="1" applyAlignment="1">
      <alignment horizontal="right"/>
    </xf>
    <xf numFmtId="5" fontId="45" fillId="0" borderId="0" xfId="0" applyNumberFormat="1" applyFont="1" applyFill="1" applyAlignment="1"/>
    <xf numFmtId="0" fontId="4" fillId="0" borderId="0" xfId="55" applyNumberFormat="1" applyFont="1" applyFill="1" applyAlignment="1"/>
    <xf numFmtId="0" fontId="4" fillId="0" borderId="17" xfId="0" applyFont="1" applyFill="1" applyBorder="1"/>
    <xf numFmtId="2" fontId="46" fillId="39" borderId="19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/>
    </xf>
    <xf numFmtId="5" fontId="4" fillId="0" borderId="23" xfId="0" applyNumberFormat="1" applyFont="1" applyFill="1" applyBorder="1" applyAlignment="1"/>
    <xf numFmtId="0" fontId="47" fillId="0" borderId="20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0" fillId="0" borderId="0" xfId="0" applyBorder="1"/>
    <xf numFmtId="0" fontId="47" fillId="39" borderId="24" xfId="0" applyFont="1" applyFill="1" applyBorder="1" applyAlignment="1">
      <alignment horizontal="center" vertical="center"/>
    </xf>
    <xf numFmtId="0" fontId="47" fillId="39" borderId="25" xfId="0" applyFont="1" applyFill="1" applyBorder="1" applyAlignment="1">
      <alignment horizontal="center" vertical="center"/>
    </xf>
    <xf numFmtId="0" fontId="47" fillId="39" borderId="26" xfId="0" applyFont="1" applyFill="1" applyBorder="1" applyAlignment="1">
      <alignment horizontal="center" vertical="center"/>
    </xf>
    <xf numFmtId="0" fontId="48" fillId="0" borderId="0" xfId="0" applyFont="1"/>
  </cellXfs>
  <cellStyles count="56">
    <cellStyle name="20% - Accent1 2" xfId="30"/>
    <cellStyle name="20% - Accent2 2" xfId="34"/>
    <cellStyle name="20% - Accent3 2" xfId="38"/>
    <cellStyle name="20% - Accent4 2" xfId="42"/>
    <cellStyle name="20% - Accent5 2" xfId="46"/>
    <cellStyle name="20% - Accent6 2" xfId="50"/>
    <cellStyle name="40% - Accent1 2" xfId="31"/>
    <cellStyle name="40% - Accent2 2" xfId="35"/>
    <cellStyle name="40% - Accent3 2" xfId="39"/>
    <cellStyle name="40% - Accent4 2" xfId="43"/>
    <cellStyle name="40% - Accent5 2" xfId="47"/>
    <cellStyle name="40% - Accent6 2" xfId="51"/>
    <cellStyle name="60% - Accent1 2" xfId="32"/>
    <cellStyle name="60% - Accent2 2" xfId="36"/>
    <cellStyle name="60% - Accent3 2" xfId="40"/>
    <cellStyle name="60% - Accent4 2" xfId="44"/>
    <cellStyle name="60% - Accent5 2" xfId="48"/>
    <cellStyle name="60% - Accent6 2" xfId="52"/>
    <cellStyle name="Accent1 2" xfId="29"/>
    <cellStyle name="Accent2 2" xfId="33"/>
    <cellStyle name="Accent3 2" xfId="37"/>
    <cellStyle name="Accent4 2" xfId="41"/>
    <cellStyle name="Accent5 2" xfId="45"/>
    <cellStyle name="Accent6 2" xfId="49"/>
    <cellStyle name="Bad 2" xfId="18"/>
    <cellStyle name="Calculation 2" xfId="22"/>
    <cellStyle name="Check Cell" xfId="53" builtinId="23"/>
    <cellStyle name="Check Cell 2" xfId="24"/>
    <cellStyle name="Comma" xfId="1" builtinId="3"/>
    <cellStyle name="Comma 2" xfId="3"/>
    <cellStyle name="Comma 3" xfId="11"/>
    <cellStyle name="Currency 2" xfId="5"/>
    <cellStyle name="Explanatory Text 2" xfId="27"/>
    <cellStyle name="Good 2" xfId="17"/>
    <cellStyle name="Heading 1 2" xfId="13"/>
    <cellStyle name="Heading 2 2" xfId="14"/>
    <cellStyle name="Heading 3 2" xfId="15"/>
    <cellStyle name="Heading 4 2" xfId="16"/>
    <cellStyle name="Input 2" xfId="20"/>
    <cellStyle name="Linked Cell 2" xfId="23"/>
    <cellStyle name="Neutral 2" xfId="19"/>
    <cellStyle name="Normal" xfId="0" builtinId="0"/>
    <cellStyle name="Normal 2" xfId="4"/>
    <cellStyle name="Normal 2 2" xfId="10"/>
    <cellStyle name="Normal 3" xfId="2"/>
    <cellStyle name="Normal 4" xfId="55"/>
    <cellStyle name="Note 2" xfId="26"/>
    <cellStyle name="Output 2" xfId="21"/>
    <cellStyle name="Percent" xfId="54" builtinId="5"/>
    <cellStyle name="SAPDataCell" xfId="9"/>
    <cellStyle name="SAPDimensionCell" xfId="7"/>
    <cellStyle name="SAPMemberCell" xfId="8"/>
    <cellStyle name="Title" xfId="12" builtinId="15" customBuiltin="1"/>
    <cellStyle name="Title 2" xfId="6"/>
    <cellStyle name="Total 2" xfId="28"/>
    <cellStyle name="Warning Text 2" xfId="25"/>
  </cellStyles>
  <dxfs count="0"/>
  <tableStyles count="0" defaultTableStyle="TableStyleMedium2" defaultPivotStyle="PivotStyleLight16"/>
  <colors>
    <mruColors>
      <color rgb="FF0066FF"/>
      <color rgb="FFFFFF66"/>
      <color rgb="FFFFFFCC"/>
      <color rgb="FFFF9900"/>
      <color rgb="FFFF33CC"/>
      <color rgb="FFCCFF33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15</xdr:col>
      <xdr:colOff>196302</xdr:colOff>
      <xdr:row>1</xdr:row>
      <xdr:rowOff>5659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177618" y="0"/>
          <a:ext cx="4510566" cy="240983"/>
        </a:xfrm>
        <a:prstGeom prst="rect">
          <a:avLst/>
        </a:prstGeom>
        <a:solidFill>
          <a:srgbClr val="FFFF00"/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</a:p>
        <a:p>
          <a:pPr algn="ctr"/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16</xdr:row>
      <xdr:rowOff>114300</xdr:rowOff>
    </xdr:from>
    <xdr:to>
      <xdr:col>5</xdr:col>
      <xdr:colOff>437512</xdr:colOff>
      <xdr:row>41</xdr:row>
      <xdr:rowOff>151800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3162300"/>
          <a:ext cx="5104762" cy="4800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F23"/>
  <sheetViews>
    <sheetView workbookViewId="0">
      <selection activeCell="D5" sqref="D5"/>
    </sheetView>
  </sheetViews>
  <sheetFormatPr defaultRowHeight="15" x14ac:dyDescent="0.25"/>
  <cols>
    <col min="1" max="1" width="16.140625" bestFit="1" customWidth="1"/>
    <col min="2" max="2" width="48.85546875" bestFit="1" customWidth="1"/>
    <col min="3" max="3" width="6.5703125" bestFit="1" customWidth="1"/>
    <col min="4" max="4" width="15.7109375" bestFit="1" customWidth="1"/>
    <col min="6" max="6" width="32.140625" bestFit="1" customWidth="1"/>
  </cols>
  <sheetData>
    <row r="4" spans="1:6" x14ac:dyDescent="0.25">
      <c r="A4" s="2" t="s">
        <v>4</v>
      </c>
      <c r="B4" s="2" t="s">
        <v>5</v>
      </c>
      <c r="C4" s="2" t="s">
        <v>18</v>
      </c>
      <c r="D4" s="2" t="s">
        <v>6</v>
      </c>
      <c r="E4" s="2" t="s">
        <v>2</v>
      </c>
      <c r="F4" s="3" t="s">
        <v>22</v>
      </c>
    </row>
    <row r="5" spans="1:6" x14ac:dyDescent="0.25">
      <c r="A5" t="s">
        <v>0</v>
      </c>
      <c r="B5" t="s">
        <v>9</v>
      </c>
      <c r="C5" t="s">
        <v>19</v>
      </c>
      <c r="D5" t="s">
        <v>8</v>
      </c>
      <c r="E5" s="1" t="s">
        <v>3</v>
      </c>
    </row>
    <row r="6" spans="1:6" x14ac:dyDescent="0.25">
      <c r="B6" t="s">
        <v>10</v>
      </c>
      <c r="C6" t="s">
        <v>19</v>
      </c>
      <c r="D6" t="s">
        <v>11</v>
      </c>
      <c r="E6" s="1" t="s">
        <v>3</v>
      </c>
    </row>
    <row r="7" spans="1:6" x14ac:dyDescent="0.25">
      <c r="B7" t="s">
        <v>7</v>
      </c>
      <c r="C7" t="s">
        <v>21</v>
      </c>
      <c r="D7" t="s">
        <v>12</v>
      </c>
      <c r="E7" s="1" t="s">
        <v>16</v>
      </c>
      <c r="F7" t="s">
        <v>13</v>
      </c>
    </row>
    <row r="8" spans="1:6" x14ac:dyDescent="0.25">
      <c r="B8" t="s">
        <v>14</v>
      </c>
      <c r="C8" t="s">
        <v>20</v>
      </c>
      <c r="D8" t="s">
        <v>15</v>
      </c>
      <c r="E8" s="1" t="s">
        <v>16</v>
      </c>
    </row>
    <row r="9" spans="1:6" x14ac:dyDescent="0.25">
      <c r="C9" t="s">
        <v>20</v>
      </c>
      <c r="D9" t="s">
        <v>17</v>
      </c>
      <c r="E9" s="1" t="s">
        <v>3</v>
      </c>
    </row>
    <row r="10" spans="1:6" x14ac:dyDescent="0.25">
      <c r="B10" t="s">
        <v>27</v>
      </c>
      <c r="E10" s="1"/>
    </row>
    <row r="11" spans="1:6" x14ac:dyDescent="0.25">
      <c r="E11" s="1"/>
    </row>
    <row r="13" spans="1:6" x14ac:dyDescent="0.25">
      <c r="A13" t="s">
        <v>1</v>
      </c>
      <c r="B13" t="s">
        <v>9</v>
      </c>
      <c r="C13" t="s">
        <v>19</v>
      </c>
      <c r="D13" t="s">
        <v>8</v>
      </c>
      <c r="E13" s="1" t="s">
        <v>3</v>
      </c>
    </row>
    <row r="14" spans="1:6" x14ac:dyDescent="0.25">
      <c r="B14" t="s">
        <v>23</v>
      </c>
      <c r="C14" t="s">
        <v>21</v>
      </c>
      <c r="D14" t="s">
        <v>15</v>
      </c>
      <c r="E14" s="1" t="s">
        <v>16</v>
      </c>
      <c r="F14" t="s">
        <v>13</v>
      </c>
    </row>
    <row r="15" spans="1:6" x14ac:dyDescent="0.25">
      <c r="B15" t="s">
        <v>24</v>
      </c>
      <c r="C15" t="s">
        <v>20</v>
      </c>
      <c r="D15" t="s">
        <v>25</v>
      </c>
      <c r="E15" s="1" t="s">
        <v>16</v>
      </c>
    </row>
    <row r="16" spans="1:6" x14ac:dyDescent="0.25">
      <c r="C16" t="s">
        <v>20</v>
      </c>
      <c r="D16" t="s">
        <v>8</v>
      </c>
      <c r="E16" s="1" t="s">
        <v>3</v>
      </c>
    </row>
    <row r="17" spans="2:6" x14ac:dyDescent="0.25">
      <c r="B17" t="s">
        <v>26</v>
      </c>
      <c r="C17" t="s">
        <v>21</v>
      </c>
      <c r="D17" t="s">
        <v>29</v>
      </c>
      <c r="E17" s="1" t="s">
        <v>3</v>
      </c>
      <c r="F17" t="s">
        <v>28</v>
      </c>
    </row>
    <row r="23" spans="2:6" x14ac:dyDescent="0.25">
      <c r="B23" t="s">
        <v>30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1"/>
  <sheetViews>
    <sheetView zoomScale="115" zoomScaleNormal="115" workbookViewId="0">
      <selection activeCell="G14" sqref="G14"/>
    </sheetView>
  </sheetViews>
  <sheetFormatPr defaultRowHeight="15" x14ac:dyDescent="0.25"/>
  <cols>
    <col min="1" max="1" width="16.140625" bestFit="1" customWidth="1"/>
    <col min="2" max="2" width="48.85546875" bestFit="1" customWidth="1"/>
    <col min="3" max="3" width="6.5703125" bestFit="1" customWidth="1"/>
    <col min="4" max="5" width="6.5703125" customWidth="1"/>
    <col min="6" max="7" width="8.42578125" bestFit="1" customWidth="1"/>
    <col min="8" max="8" width="7.85546875" bestFit="1" customWidth="1"/>
    <col min="9" max="9" width="6.85546875" bestFit="1" customWidth="1"/>
    <col min="10" max="10" width="12.5703125" customWidth="1"/>
    <col min="11" max="11" width="42.7109375" bestFit="1" customWidth="1"/>
    <col min="13" max="13" width="17.42578125" bestFit="1" customWidth="1"/>
  </cols>
  <sheetData>
    <row r="1" spans="1:11" x14ac:dyDescent="0.25">
      <c r="A1" t="s">
        <v>64</v>
      </c>
    </row>
    <row r="2" spans="1:11" x14ac:dyDescent="0.25">
      <c r="A2" t="s">
        <v>59</v>
      </c>
    </row>
    <row r="6" spans="1:11" ht="30" x14ac:dyDescent="0.25">
      <c r="A6" s="2" t="s">
        <v>4</v>
      </c>
      <c r="B6" s="2" t="s">
        <v>5</v>
      </c>
      <c r="C6" s="6" t="s">
        <v>32</v>
      </c>
      <c r="D6" s="2" t="s">
        <v>18</v>
      </c>
      <c r="E6" s="2" t="s">
        <v>31</v>
      </c>
      <c r="F6" s="7" t="s">
        <v>36</v>
      </c>
      <c r="G6" s="7"/>
      <c r="H6" s="7" t="s">
        <v>33</v>
      </c>
      <c r="I6" s="7"/>
      <c r="J6" s="2" t="s">
        <v>2</v>
      </c>
      <c r="K6" s="3" t="s">
        <v>22</v>
      </c>
    </row>
    <row r="7" spans="1:11" x14ac:dyDescent="0.25">
      <c r="A7" t="s">
        <v>45</v>
      </c>
      <c r="B7" s="4"/>
      <c r="C7" s="4"/>
      <c r="D7" s="4"/>
      <c r="E7" s="4"/>
      <c r="F7" s="13" t="s">
        <v>34</v>
      </c>
      <c r="G7" s="13" t="s">
        <v>35</v>
      </c>
      <c r="H7" s="10" t="s">
        <v>34</v>
      </c>
      <c r="I7" s="10" t="s">
        <v>35</v>
      </c>
      <c r="J7" s="4"/>
      <c r="K7" s="5"/>
    </row>
    <row r="8" spans="1:11" x14ac:dyDescent="0.25">
      <c r="B8" s="4"/>
      <c r="C8" s="4"/>
      <c r="D8" s="4"/>
      <c r="E8" s="4"/>
      <c r="F8" s="13"/>
      <c r="G8" s="13"/>
      <c r="H8" s="10"/>
      <c r="I8" s="10"/>
      <c r="J8" s="4"/>
      <c r="K8" s="5"/>
    </row>
    <row r="9" spans="1:11" x14ac:dyDescent="0.25">
      <c r="A9" t="s">
        <v>46</v>
      </c>
      <c r="B9" s="4"/>
      <c r="C9" s="4"/>
      <c r="D9" s="4"/>
      <c r="E9" s="4"/>
      <c r="F9" s="13"/>
      <c r="G9" s="13"/>
      <c r="H9" s="10"/>
      <c r="I9" s="10"/>
      <c r="J9" s="4"/>
      <c r="K9" s="5"/>
    </row>
    <row r="10" spans="1:11" x14ac:dyDescent="0.25">
      <c r="A10" s="1" t="s">
        <v>40</v>
      </c>
      <c r="B10" t="s">
        <v>9</v>
      </c>
      <c r="C10" t="s">
        <v>19</v>
      </c>
      <c r="D10" s="8">
        <v>50</v>
      </c>
      <c r="E10">
        <v>100</v>
      </c>
      <c r="F10" s="14" t="s">
        <v>47</v>
      </c>
      <c r="G10" s="15" t="s">
        <v>39</v>
      </c>
      <c r="H10" s="11">
        <f>+E10*D10</f>
        <v>5000</v>
      </c>
      <c r="I10" s="12"/>
      <c r="J10" s="1" t="s">
        <v>3</v>
      </c>
      <c r="K10" t="s">
        <v>50</v>
      </c>
    </row>
    <row r="11" spans="1:11" x14ac:dyDescent="0.25">
      <c r="A11" s="1" t="s">
        <v>41</v>
      </c>
      <c r="B11" t="s">
        <v>10</v>
      </c>
      <c r="C11" t="s">
        <v>19</v>
      </c>
      <c r="D11" s="8">
        <v>50</v>
      </c>
      <c r="E11">
        <v>20</v>
      </c>
      <c r="F11" s="14" t="s">
        <v>37</v>
      </c>
      <c r="G11" s="15" t="s">
        <v>39</v>
      </c>
      <c r="H11" s="11">
        <f>+E11*D11</f>
        <v>1000</v>
      </c>
      <c r="I11" s="12"/>
      <c r="J11" s="1" t="s">
        <v>3</v>
      </c>
      <c r="K11" t="s">
        <v>51</v>
      </c>
    </row>
    <row r="12" spans="1:11" x14ac:dyDescent="0.25">
      <c r="A12" s="1" t="s">
        <v>42</v>
      </c>
      <c r="B12" t="s">
        <v>7</v>
      </c>
      <c r="C12" t="s">
        <v>21</v>
      </c>
      <c r="D12" s="8">
        <v>30</v>
      </c>
      <c r="E12">
        <v>20</v>
      </c>
      <c r="F12" s="15" t="s">
        <v>39</v>
      </c>
      <c r="G12" s="14" t="s">
        <v>38</v>
      </c>
      <c r="H12" s="12"/>
      <c r="I12" s="11">
        <f>-E12*D12</f>
        <v>-600</v>
      </c>
      <c r="J12" s="1" t="s">
        <v>16</v>
      </c>
      <c r="K12" t="s">
        <v>52</v>
      </c>
    </row>
    <row r="13" spans="1:11" x14ac:dyDescent="0.25">
      <c r="A13" s="1" t="s">
        <v>43</v>
      </c>
      <c r="B13" t="s">
        <v>14</v>
      </c>
      <c r="C13" t="s">
        <v>20</v>
      </c>
      <c r="D13" s="8">
        <v>30</v>
      </c>
      <c r="E13">
        <v>20</v>
      </c>
      <c r="F13" s="14" t="s">
        <v>48</v>
      </c>
      <c r="G13" s="15" t="s">
        <v>55</v>
      </c>
      <c r="H13" s="11">
        <f>+D13*E13</f>
        <v>600</v>
      </c>
      <c r="I13" s="11"/>
      <c r="J13" s="1" t="s">
        <v>16</v>
      </c>
      <c r="K13" t="s">
        <v>53</v>
      </c>
    </row>
    <row r="14" spans="1:11" x14ac:dyDescent="0.25">
      <c r="A14" s="1" t="s">
        <v>63</v>
      </c>
      <c r="B14" t="s">
        <v>49</v>
      </c>
      <c r="C14" t="str">
        <f>+C13</f>
        <v>MKT</v>
      </c>
      <c r="D14" s="8">
        <f>+D13</f>
        <v>30</v>
      </c>
      <c r="E14">
        <f>+E13</f>
        <v>20</v>
      </c>
      <c r="F14" s="15" t="s">
        <v>56</v>
      </c>
      <c r="G14" s="14" t="s">
        <v>37</v>
      </c>
      <c r="H14" s="11"/>
      <c r="I14" s="11">
        <f>-H13</f>
        <v>-600</v>
      </c>
      <c r="J14" s="1" t="str">
        <f>+J11</f>
        <v>No</v>
      </c>
      <c r="K14" t="s">
        <v>60</v>
      </c>
    </row>
    <row r="15" spans="1:11" x14ac:dyDescent="0.25">
      <c r="A15" s="1"/>
      <c r="D15" s="8"/>
      <c r="F15" s="15"/>
      <c r="G15" s="14"/>
      <c r="H15" s="11"/>
      <c r="I15" s="11"/>
      <c r="J15" s="1"/>
    </row>
    <row r="16" spans="1:11" x14ac:dyDescent="0.25">
      <c r="A16" s="1" t="s">
        <v>44</v>
      </c>
      <c r="B16" t="s">
        <v>27</v>
      </c>
      <c r="F16" s="13"/>
      <c r="G16" s="13"/>
      <c r="H16" s="10"/>
      <c r="I16" s="10"/>
      <c r="J16" s="1"/>
    </row>
    <row r="17" spans="1:11" x14ac:dyDescent="0.25">
      <c r="F17" s="13"/>
      <c r="G17" s="13"/>
      <c r="H17" s="10"/>
      <c r="I17" s="10"/>
      <c r="J17" s="1"/>
    </row>
    <row r="18" spans="1:11" x14ac:dyDescent="0.25">
      <c r="F18" s="13"/>
      <c r="G18" s="13"/>
      <c r="H18" s="10"/>
      <c r="I18" s="10"/>
    </row>
    <row r="19" spans="1:11" x14ac:dyDescent="0.25">
      <c r="A19" s="9" t="s">
        <v>54</v>
      </c>
      <c r="F19" s="13"/>
      <c r="G19" s="13"/>
      <c r="H19" s="11"/>
      <c r="I19" s="11"/>
    </row>
    <row r="20" spans="1:11" x14ac:dyDescent="0.25">
      <c r="A20" s="1" t="s">
        <v>40</v>
      </c>
      <c r="B20" t="s">
        <v>9</v>
      </c>
      <c r="C20" t="s">
        <v>19</v>
      </c>
      <c r="D20" s="8">
        <v>50</v>
      </c>
      <c r="E20">
        <v>100</v>
      </c>
      <c r="F20" s="14" t="s">
        <v>47</v>
      </c>
      <c r="G20" s="15" t="s">
        <v>39</v>
      </c>
      <c r="H20" s="11">
        <f>+E20*D20</f>
        <v>5000</v>
      </c>
      <c r="I20" s="11"/>
      <c r="J20" s="1" t="s">
        <v>3</v>
      </c>
      <c r="K20" t="s">
        <v>50</v>
      </c>
    </row>
    <row r="21" spans="1:11" x14ac:dyDescent="0.25">
      <c r="A21" s="1" t="s">
        <v>41</v>
      </c>
      <c r="B21" t="s">
        <v>23</v>
      </c>
      <c r="C21" t="s">
        <v>21</v>
      </c>
      <c r="D21" s="8">
        <v>30</v>
      </c>
      <c r="E21">
        <v>20</v>
      </c>
      <c r="F21" s="14" t="s">
        <v>48</v>
      </c>
      <c r="G21" s="15" t="s">
        <v>39</v>
      </c>
      <c r="H21" s="11">
        <f>+E21*D21</f>
        <v>600</v>
      </c>
      <c r="I21" s="11"/>
      <c r="J21" s="1" t="s">
        <v>16</v>
      </c>
      <c r="K21" t="s">
        <v>52</v>
      </c>
    </row>
    <row r="22" spans="1:11" x14ac:dyDescent="0.25">
      <c r="A22" s="1" t="s">
        <v>42</v>
      </c>
      <c r="B22" t="s">
        <v>24</v>
      </c>
      <c r="C22" t="s">
        <v>20</v>
      </c>
      <c r="D22" s="8">
        <v>30</v>
      </c>
      <c r="E22">
        <v>20</v>
      </c>
      <c r="F22" s="15" t="s">
        <v>55</v>
      </c>
      <c r="G22" s="14" t="s">
        <v>48</v>
      </c>
      <c r="H22" s="11"/>
      <c r="I22" s="11">
        <f>-E22*D22</f>
        <v>-600</v>
      </c>
      <c r="J22" s="1" t="s">
        <v>16</v>
      </c>
      <c r="K22" t="s">
        <v>62</v>
      </c>
    </row>
    <row r="23" spans="1:11" x14ac:dyDescent="0.25">
      <c r="A23" s="1" t="s">
        <v>63</v>
      </c>
      <c r="B23" t="s">
        <v>57</v>
      </c>
      <c r="C23" t="s">
        <v>20</v>
      </c>
      <c r="D23" s="8">
        <v>30</v>
      </c>
      <c r="E23">
        <v>20</v>
      </c>
      <c r="F23" s="14" t="s">
        <v>47</v>
      </c>
      <c r="G23" s="15" t="s">
        <v>56</v>
      </c>
      <c r="H23" s="11">
        <f>-I22</f>
        <v>600</v>
      </c>
      <c r="I23" s="11"/>
      <c r="J23" s="1" t="s">
        <v>3</v>
      </c>
      <c r="K23" t="s">
        <v>61</v>
      </c>
    </row>
    <row r="24" spans="1:11" x14ac:dyDescent="0.25">
      <c r="A24" s="1"/>
      <c r="D24" s="8"/>
      <c r="F24" s="14"/>
      <c r="G24" s="15"/>
      <c r="H24" s="11"/>
      <c r="I24" s="11"/>
      <c r="J24" s="1"/>
    </row>
    <row r="25" spans="1:11" x14ac:dyDescent="0.25">
      <c r="A25" s="1" t="s">
        <v>43</v>
      </c>
      <c r="B25" t="s">
        <v>58</v>
      </c>
      <c r="D25" s="8"/>
      <c r="F25" s="13"/>
      <c r="G25" s="13"/>
      <c r="H25" s="11"/>
      <c r="I25" s="11"/>
      <c r="J25" s="1" t="s">
        <v>3</v>
      </c>
      <c r="K25" t="s">
        <v>28</v>
      </c>
    </row>
    <row r="26" spans="1:11" x14ac:dyDescent="0.25">
      <c r="A26" s="1"/>
      <c r="F26" s="13"/>
      <c r="G26" s="13"/>
      <c r="H26" s="11"/>
      <c r="I26" s="11"/>
    </row>
    <row r="31" spans="1:11" x14ac:dyDescent="0.25">
      <c r="B31" t="s">
        <v>30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39"/>
  <sheetViews>
    <sheetView workbookViewId="0">
      <selection activeCell="E4" sqref="E4"/>
    </sheetView>
  </sheetViews>
  <sheetFormatPr defaultColWidth="9.140625" defaultRowHeight="12.75" x14ac:dyDescent="0.2"/>
  <cols>
    <col min="1" max="1" width="2.140625" style="32" customWidth="1"/>
    <col min="2" max="2" width="49.7109375" style="32" bestFit="1" customWidth="1"/>
    <col min="3" max="4" width="1.42578125" style="32" customWidth="1"/>
    <col min="5" max="5" width="11.28515625" style="32" bestFit="1" customWidth="1"/>
    <col min="6" max="6" width="10.5703125" style="32" bestFit="1" customWidth="1"/>
    <col min="7" max="14" width="10.28515625" style="32" bestFit="1" customWidth="1"/>
    <col min="15" max="16" width="10.85546875" style="32" bestFit="1" customWidth="1"/>
    <col min="17" max="17" width="11.85546875" style="32" bestFit="1" customWidth="1"/>
    <col min="18" max="16384" width="9.140625" style="32"/>
  </cols>
  <sheetData>
    <row r="1" spans="2:17" x14ac:dyDescent="0.2"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73</v>
      </c>
    </row>
    <row r="2" spans="2:17" x14ac:dyDescent="0.2">
      <c r="B2" s="22" t="s">
        <v>65</v>
      </c>
      <c r="C2" s="16"/>
      <c r="D2" s="16"/>
      <c r="E2" s="20">
        <v>43101</v>
      </c>
      <c r="F2" s="21">
        <v>43132</v>
      </c>
      <c r="G2" s="20">
        <v>43160</v>
      </c>
      <c r="H2" s="21">
        <v>43191</v>
      </c>
      <c r="I2" s="20">
        <v>43221</v>
      </c>
      <c r="J2" s="21">
        <v>43252</v>
      </c>
      <c r="K2" s="20">
        <v>43282</v>
      </c>
      <c r="L2" s="21">
        <v>43313</v>
      </c>
      <c r="M2" s="20">
        <v>43344</v>
      </c>
      <c r="N2" s="21">
        <v>43374</v>
      </c>
      <c r="O2" s="20">
        <v>43405</v>
      </c>
      <c r="P2" s="21">
        <v>43435</v>
      </c>
      <c r="Q2" s="21" t="s">
        <v>74</v>
      </c>
    </row>
    <row r="3" spans="2:17" x14ac:dyDescent="0.2">
      <c r="B3" s="23" t="s">
        <v>66</v>
      </c>
      <c r="C3" s="17"/>
      <c r="D3" s="17"/>
      <c r="E3" s="24">
        <v>2000000</v>
      </c>
      <c r="F3" s="24">
        <v>1500000</v>
      </c>
      <c r="G3" s="24">
        <v>1800000</v>
      </c>
      <c r="H3" s="24">
        <v>1500000</v>
      </c>
      <c r="I3" s="24">
        <v>1500000</v>
      </c>
      <c r="J3" s="24">
        <v>1500000</v>
      </c>
      <c r="K3" s="24">
        <v>1500000</v>
      </c>
      <c r="L3" s="24">
        <v>1500000</v>
      </c>
      <c r="M3" s="24">
        <v>1500000</v>
      </c>
      <c r="N3" s="24">
        <v>1500000</v>
      </c>
      <c r="O3" s="24">
        <v>2000000</v>
      </c>
      <c r="P3" s="24">
        <v>2500000</v>
      </c>
      <c r="Q3" s="25">
        <f>SUM(E3:P3)</f>
        <v>20300000</v>
      </c>
    </row>
    <row r="4" spans="2:17" x14ac:dyDescent="0.2">
      <c r="B4" s="26" t="s">
        <v>67</v>
      </c>
      <c r="C4" s="16"/>
      <c r="D4" s="16"/>
      <c r="E4" s="27">
        <f>20000000/12</f>
        <v>1666666.6666666667</v>
      </c>
      <c r="F4" s="27">
        <f>20000000/12</f>
        <v>1666666.6666666667</v>
      </c>
      <c r="G4" s="27">
        <f>20000000/12</f>
        <v>1666666.6666666667</v>
      </c>
      <c r="H4" s="27">
        <f t="shared" ref="H4:O4" si="0">20000000/12</f>
        <v>1666666.6666666667</v>
      </c>
      <c r="I4" s="27">
        <f t="shared" si="0"/>
        <v>1666666.6666666667</v>
      </c>
      <c r="J4" s="27">
        <f t="shared" si="0"/>
        <v>1666666.6666666667</v>
      </c>
      <c r="K4" s="27">
        <f t="shared" si="0"/>
        <v>1666666.6666666667</v>
      </c>
      <c r="L4" s="27">
        <f t="shared" si="0"/>
        <v>1666666.6666666667</v>
      </c>
      <c r="M4" s="27">
        <f t="shared" si="0"/>
        <v>1666666.6666666667</v>
      </c>
      <c r="N4" s="27">
        <f t="shared" si="0"/>
        <v>1666666.6666666667</v>
      </c>
      <c r="O4" s="27">
        <f t="shared" si="0"/>
        <v>1666666.6666666667</v>
      </c>
      <c r="P4" s="27">
        <v>2000000</v>
      </c>
      <c r="Q4" s="28">
        <f>SUM(E4:P4)</f>
        <v>20333333.333333332</v>
      </c>
    </row>
    <row r="5" spans="2:17" x14ac:dyDescent="0.2">
      <c r="B5" s="16" t="s">
        <v>68</v>
      </c>
      <c r="C5" s="16"/>
      <c r="D5" s="16"/>
      <c r="E5" s="25">
        <f>E4-E3</f>
        <v>-333333.33333333326</v>
      </c>
      <c r="F5" s="25">
        <f t="shared" ref="F5:Q5" si="1">F4-F3</f>
        <v>166666.66666666674</v>
      </c>
      <c r="G5" s="25">
        <f t="shared" si="1"/>
        <v>-133333.33333333326</v>
      </c>
      <c r="H5" s="25">
        <f t="shared" si="1"/>
        <v>166666.66666666674</v>
      </c>
      <c r="I5" s="25">
        <f t="shared" si="1"/>
        <v>166666.66666666674</v>
      </c>
      <c r="J5" s="25">
        <f t="shared" si="1"/>
        <v>166666.66666666674</v>
      </c>
      <c r="K5" s="25">
        <f t="shared" si="1"/>
        <v>166666.66666666674</v>
      </c>
      <c r="L5" s="25">
        <f t="shared" si="1"/>
        <v>166666.66666666674</v>
      </c>
      <c r="M5" s="25">
        <f t="shared" si="1"/>
        <v>166666.66666666674</v>
      </c>
      <c r="N5" s="25">
        <f t="shared" si="1"/>
        <v>166666.66666666674</v>
      </c>
      <c r="O5" s="25">
        <f t="shared" si="1"/>
        <v>-333333.33333333326</v>
      </c>
      <c r="P5" s="25">
        <f t="shared" si="1"/>
        <v>-500000</v>
      </c>
      <c r="Q5" s="25">
        <f t="shared" si="1"/>
        <v>33333.333333332092</v>
      </c>
    </row>
    <row r="6" spans="2:17" x14ac:dyDescent="0.2">
      <c r="B6" s="16"/>
      <c r="C6" s="16"/>
      <c r="D6" s="1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x14ac:dyDescent="0.2">
      <c r="B7" s="22" t="s">
        <v>92</v>
      </c>
      <c r="C7" s="16"/>
      <c r="D7" s="16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x14ac:dyDescent="0.2">
      <c r="B8" s="16" t="s">
        <v>69</v>
      </c>
      <c r="C8" s="16"/>
      <c r="D8" s="16"/>
      <c r="E8" s="25">
        <f t="shared" ref="E8:O8" si="2">E4</f>
        <v>1666666.6666666667</v>
      </c>
      <c r="F8" s="25">
        <f t="shared" si="2"/>
        <v>1666666.6666666667</v>
      </c>
      <c r="G8" s="25">
        <f t="shared" si="2"/>
        <v>1666666.6666666667</v>
      </c>
      <c r="H8" s="25">
        <f t="shared" si="2"/>
        <v>1666666.6666666667</v>
      </c>
      <c r="I8" s="25">
        <f t="shared" si="2"/>
        <v>1666666.6666666667</v>
      </c>
      <c r="J8" s="25">
        <f t="shared" si="2"/>
        <v>1666666.6666666667</v>
      </c>
      <c r="K8" s="25">
        <f t="shared" si="2"/>
        <v>1666666.6666666667</v>
      </c>
      <c r="L8" s="25">
        <f t="shared" si="2"/>
        <v>1666666.6666666667</v>
      </c>
      <c r="M8" s="25">
        <f t="shared" si="2"/>
        <v>1666666.6666666667</v>
      </c>
      <c r="N8" s="25">
        <f t="shared" si="2"/>
        <v>1666666.6666666667</v>
      </c>
      <c r="O8" s="25">
        <f t="shared" si="2"/>
        <v>1666666.6666666667</v>
      </c>
      <c r="P8" s="25">
        <f>P4-Q5</f>
        <v>1966666.6666666679</v>
      </c>
      <c r="Q8" s="25">
        <f>SUM(E8:P8)</f>
        <v>20300000</v>
      </c>
    </row>
    <row r="9" spans="2:17" x14ac:dyDescent="0.2">
      <c r="B9" s="16" t="s">
        <v>83</v>
      </c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4">
        <f>IF(Q5&lt;0, -Q5, 0)</f>
        <v>0</v>
      </c>
    </row>
    <row r="10" spans="2:17" x14ac:dyDescent="0.2">
      <c r="B10" s="16" t="s">
        <v>84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4">
        <f>IF(Q5&gt;0, Q5, 0)</f>
        <v>33333.333333332092</v>
      </c>
    </row>
    <row r="11" spans="2:17" x14ac:dyDescent="0.2">
      <c r="B11" s="1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4"/>
    </row>
    <row r="12" spans="2:17" x14ac:dyDescent="0.2">
      <c r="B12" s="37" t="s">
        <v>93</v>
      </c>
    </row>
    <row r="13" spans="2:17" x14ac:dyDescent="0.2">
      <c r="B13" s="16" t="s">
        <v>72</v>
      </c>
      <c r="E13" s="29">
        <f>45/1000</f>
        <v>4.4999999999999998E-2</v>
      </c>
      <c r="F13" s="29">
        <f t="shared" ref="F13:P13" si="3">45/1000</f>
        <v>4.4999999999999998E-2</v>
      </c>
      <c r="G13" s="29">
        <f t="shared" si="3"/>
        <v>4.4999999999999998E-2</v>
      </c>
      <c r="H13" s="29">
        <f t="shared" si="3"/>
        <v>4.4999999999999998E-2</v>
      </c>
      <c r="I13" s="29">
        <f t="shared" si="3"/>
        <v>4.4999999999999998E-2</v>
      </c>
      <c r="J13" s="29">
        <f t="shared" si="3"/>
        <v>4.4999999999999998E-2</v>
      </c>
      <c r="K13" s="29">
        <f t="shared" si="3"/>
        <v>4.4999999999999998E-2</v>
      </c>
      <c r="L13" s="29">
        <f t="shared" si="3"/>
        <v>4.4999999999999998E-2</v>
      </c>
      <c r="M13" s="29">
        <f t="shared" si="3"/>
        <v>4.4999999999999998E-2</v>
      </c>
      <c r="N13" s="29">
        <f t="shared" si="3"/>
        <v>4.4999999999999998E-2</v>
      </c>
      <c r="O13" s="29">
        <f t="shared" si="3"/>
        <v>4.4999999999999998E-2</v>
      </c>
      <c r="P13" s="29">
        <f t="shared" si="3"/>
        <v>4.4999999999999998E-2</v>
      </c>
    </row>
    <row r="14" spans="2:17" x14ac:dyDescent="0.2">
      <c r="B14" s="16" t="s">
        <v>71</v>
      </c>
      <c r="E14" s="29">
        <f>35/1000</f>
        <v>3.5000000000000003E-2</v>
      </c>
      <c r="F14" s="29">
        <f>E14+0.005</f>
        <v>0.04</v>
      </c>
      <c r="G14" s="29">
        <f>F14-0.007</f>
        <v>3.3000000000000002E-2</v>
      </c>
      <c r="H14" s="29">
        <f>G14+0.015</f>
        <v>4.8000000000000001E-2</v>
      </c>
      <c r="I14" s="29">
        <f t="shared" ref="I14:P14" si="4">35/1000</f>
        <v>3.5000000000000003E-2</v>
      </c>
      <c r="J14" s="29">
        <f t="shared" si="4"/>
        <v>3.5000000000000003E-2</v>
      </c>
      <c r="K14" s="29">
        <f t="shared" si="4"/>
        <v>3.5000000000000003E-2</v>
      </c>
      <c r="L14" s="29">
        <f t="shared" si="4"/>
        <v>3.5000000000000003E-2</v>
      </c>
      <c r="M14" s="29">
        <f t="shared" si="4"/>
        <v>3.5000000000000003E-2</v>
      </c>
      <c r="N14" s="29">
        <f t="shared" si="4"/>
        <v>3.5000000000000003E-2</v>
      </c>
      <c r="O14" s="29">
        <f t="shared" si="4"/>
        <v>3.5000000000000003E-2</v>
      </c>
      <c r="P14" s="29">
        <f t="shared" si="4"/>
        <v>3.5000000000000003E-2</v>
      </c>
    </row>
    <row r="16" spans="2:17" x14ac:dyDescent="0.2">
      <c r="B16" s="22" t="s">
        <v>94</v>
      </c>
    </row>
    <row r="17" spans="2:17" x14ac:dyDescent="0.2">
      <c r="B17" s="30" t="s">
        <v>95</v>
      </c>
    </row>
    <row r="18" spans="2:17" x14ac:dyDescent="0.2">
      <c r="B18" s="16" t="s">
        <v>75</v>
      </c>
      <c r="E18" s="25">
        <f>E5*E14</f>
        <v>-11666.666666666664</v>
      </c>
      <c r="F18" s="25">
        <f>F5*F14</f>
        <v>6666.6666666666697</v>
      </c>
      <c r="G18" s="25">
        <f>G5*G14</f>
        <v>-4399.9999999999973</v>
      </c>
      <c r="H18" s="25">
        <f>H5*H14</f>
        <v>8000.0000000000036</v>
      </c>
      <c r="I18" s="25">
        <f t="shared" ref="I18:P18" si="5">I5*I14</f>
        <v>5833.3333333333367</v>
      </c>
      <c r="J18" s="25">
        <f t="shared" si="5"/>
        <v>5833.3333333333367</v>
      </c>
      <c r="K18" s="25">
        <f t="shared" si="5"/>
        <v>5833.3333333333367</v>
      </c>
      <c r="L18" s="25">
        <f t="shared" si="5"/>
        <v>5833.3333333333367</v>
      </c>
      <c r="M18" s="25">
        <f t="shared" si="5"/>
        <v>5833.3333333333367</v>
      </c>
      <c r="N18" s="25">
        <f t="shared" si="5"/>
        <v>5833.3333333333367</v>
      </c>
      <c r="O18" s="25">
        <f t="shared" si="5"/>
        <v>-11666.666666666664</v>
      </c>
      <c r="P18" s="25">
        <f t="shared" si="5"/>
        <v>-17500</v>
      </c>
      <c r="Q18" s="25">
        <f>SUM(E18:P18)</f>
        <v>4433.3333333333649</v>
      </c>
    </row>
    <row r="19" spans="2:17" x14ac:dyDescent="0.2">
      <c r="B19" s="16" t="s">
        <v>70</v>
      </c>
      <c r="E19" s="25">
        <f>IF(E5&lt;0, -E18, 0)</f>
        <v>11666.666666666664</v>
      </c>
      <c r="F19" s="25">
        <f>IF(F5&lt;0, -F18, 0)</f>
        <v>0</v>
      </c>
      <c r="G19" s="25">
        <f>IF(G5&lt;0, -G18, 0)</f>
        <v>4399.9999999999973</v>
      </c>
      <c r="H19" s="25">
        <f>IF(H5&lt;0, -H18, 0)</f>
        <v>0</v>
      </c>
      <c r="I19" s="25">
        <f t="shared" ref="I19:P19" si="6">IF(I5&lt;0, -I18, 0)</f>
        <v>0</v>
      </c>
      <c r="J19" s="25">
        <f t="shared" si="6"/>
        <v>0</v>
      </c>
      <c r="K19" s="25">
        <f t="shared" si="6"/>
        <v>0</v>
      </c>
      <c r="L19" s="25">
        <f t="shared" si="6"/>
        <v>0</v>
      </c>
      <c r="M19" s="25">
        <f t="shared" si="6"/>
        <v>0</v>
      </c>
      <c r="N19" s="25">
        <f t="shared" si="6"/>
        <v>0</v>
      </c>
      <c r="O19" s="25">
        <f t="shared" si="6"/>
        <v>11666.666666666664</v>
      </c>
      <c r="P19" s="25">
        <f t="shared" si="6"/>
        <v>17500</v>
      </c>
      <c r="Q19" s="25">
        <f>SUM(E19:P19)</f>
        <v>45233.333333333328</v>
      </c>
    </row>
    <row r="20" spans="2:17" x14ac:dyDescent="0.2">
      <c r="B20" s="16" t="s">
        <v>89</v>
      </c>
      <c r="E20" s="25">
        <f>IF(E5&gt;0, -E18, 0)</f>
        <v>0</v>
      </c>
      <c r="F20" s="25">
        <f>IF(F5&gt;0, -F18, 0)</f>
        <v>-6666.6666666666697</v>
      </c>
      <c r="G20" s="25">
        <f>IF(G5&gt;0, -G18, 0)</f>
        <v>0</v>
      </c>
      <c r="H20" s="25">
        <f>IF(H5&gt;0, -H18, 0)</f>
        <v>-8000.0000000000036</v>
      </c>
      <c r="I20" s="25">
        <f t="shared" ref="I20:P20" si="7">IF(I5&gt;0, -I18, 0)</f>
        <v>-5833.3333333333367</v>
      </c>
      <c r="J20" s="25">
        <f t="shared" si="7"/>
        <v>-5833.3333333333367</v>
      </c>
      <c r="K20" s="25">
        <f t="shared" si="7"/>
        <v>-5833.3333333333367</v>
      </c>
      <c r="L20" s="25">
        <f t="shared" si="7"/>
        <v>-5833.3333333333367</v>
      </c>
      <c r="M20" s="25">
        <f t="shared" si="7"/>
        <v>-5833.3333333333367</v>
      </c>
      <c r="N20" s="25">
        <f t="shared" si="7"/>
        <v>-5833.3333333333367</v>
      </c>
      <c r="O20" s="25">
        <f t="shared" si="7"/>
        <v>0</v>
      </c>
      <c r="P20" s="25">
        <f t="shared" si="7"/>
        <v>0</v>
      </c>
      <c r="Q20" s="25">
        <f>SUM(E20:P20)</f>
        <v>-49666.666666666693</v>
      </c>
    </row>
    <row r="21" spans="2:17" x14ac:dyDescent="0.2">
      <c r="E21" s="25"/>
      <c r="F21" s="25"/>
      <c r="G21" s="25"/>
      <c r="H21" s="25"/>
      <c r="I21" s="33"/>
      <c r="J21" s="33"/>
      <c r="K21" s="33"/>
      <c r="L21" s="33"/>
      <c r="M21" s="33"/>
      <c r="N21" s="33"/>
      <c r="O21" s="33"/>
      <c r="P21" s="33"/>
      <c r="Q21" s="33"/>
    </row>
    <row r="22" spans="2:17" x14ac:dyDescent="0.2">
      <c r="B22" s="36" t="s">
        <v>86</v>
      </c>
      <c r="E22" s="25"/>
      <c r="F22" s="25"/>
      <c r="G22" s="25"/>
      <c r="H22" s="25"/>
      <c r="I22" s="33"/>
      <c r="J22" s="33"/>
      <c r="K22" s="33"/>
      <c r="L22" s="33"/>
      <c r="M22" s="33"/>
      <c r="N22" s="33"/>
      <c r="O22" s="33"/>
      <c r="P22" s="33"/>
      <c r="Q22" s="33"/>
    </row>
    <row r="23" spans="2:17" x14ac:dyDescent="0.2">
      <c r="B23" s="16" t="s">
        <v>88</v>
      </c>
      <c r="E23" s="25">
        <f t="shared" ref="E23:P23" si="8">IF(E5&gt;0, E5*E13, 0)</f>
        <v>0</v>
      </c>
      <c r="F23" s="25">
        <f t="shared" si="8"/>
        <v>7500.0000000000036</v>
      </c>
      <c r="G23" s="25">
        <f t="shared" si="8"/>
        <v>0</v>
      </c>
      <c r="H23" s="25">
        <f t="shared" si="8"/>
        <v>7500.0000000000036</v>
      </c>
      <c r="I23" s="25">
        <f t="shared" si="8"/>
        <v>7500.0000000000036</v>
      </c>
      <c r="J23" s="25">
        <f t="shared" si="8"/>
        <v>7500.0000000000036</v>
      </c>
      <c r="K23" s="25">
        <f t="shared" si="8"/>
        <v>7500.0000000000036</v>
      </c>
      <c r="L23" s="25">
        <f t="shared" si="8"/>
        <v>7500.0000000000036</v>
      </c>
      <c r="M23" s="25">
        <f t="shared" si="8"/>
        <v>7500.0000000000036</v>
      </c>
      <c r="N23" s="25">
        <f t="shared" si="8"/>
        <v>7500.0000000000036</v>
      </c>
      <c r="O23" s="25">
        <f t="shared" si="8"/>
        <v>0</v>
      </c>
      <c r="P23" s="25">
        <f t="shared" si="8"/>
        <v>0</v>
      </c>
      <c r="Q23" s="25">
        <f t="shared" ref="Q23:Q25" si="9">SUM(E23:P23)</f>
        <v>60000.000000000015</v>
      </c>
    </row>
    <row r="24" spans="2:17" x14ac:dyDescent="0.2">
      <c r="B24" s="16" t="s">
        <v>76</v>
      </c>
      <c r="E24" s="25">
        <f t="shared" ref="E24:P24" si="10">IF(E4-E3&lt;0, E4*E13, E3*E13)</f>
        <v>75000</v>
      </c>
      <c r="F24" s="25">
        <f t="shared" si="10"/>
        <v>67500</v>
      </c>
      <c r="G24" s="25">
        <f t="shared" si="10"/>
        <v>75000</v>
      </c>
      <c r="H24" s="25">
        <f t="shared" si="10"/>
        <v>67500</v>
      </c>
      <c r="I24" s="25">
        <f t="shared" si="10"/>
        <v>67500</v>
      </c>
      <c r="J24" s="25">
        <f t="shared" si="10"/>
        <v>67500</v>
      </c>
      <c r="K24" s="25">
        <f t="shared" si="10"/>
        <v>67500</v>
      </c>
      <c r="L24" s="25">
        <f t="shared" si="10"/>
        <v>67500</v>
      </c>
      <c r="M24" s="25">
        <f t="shared" si="10"/>
        <v>67500</v>
      </c>
      <c r="N24" s="25">
        <f t="shared" si="10"/>
        <v>67500</v>
      </c>
      <c r="O24" s="25">
        <f t="shared" si="10"/>
        <v>75000</v>
      </c>
      <c r="P24" s="25">
        <f t="shared" si="10"/>
        <v>90000</v>
      </c>
      <c r="Q24" s="25">
        <f t="shared" si="9"/>
        <v>855000</v>
      </c>
    </row>
    <row r="25" spans="2:17" x14ac:dyDescent="0.2">
      <c r="B25" s="16" t="s">
        <v>79</v>
      </c>
      <c r="E25" s="25">
        <f t="shared" ref="E25:P25" si="11">IF(E5&lt;0, -E5*E14, 0)</f>
        <v>11666.666666666664</v>
      </c>
      <c r="F25" s="25">
        <f t="shared" si="11"/>
        <v>0</v>
      </c>
      <c r="G25" s="25">
        <f t="shared" si="11"/>
        <v>4399.9999999999973</v>
      </c>
      <c r="H25" s="25">
        <f t="shared" si="11"/>
        <v>0</v>
      </c>
      <c r="I25" s="25">
        <f t="shared" si="11"/>
        <v>0</v>
      </c>
      <c r="J25" s="25">
        <f t="shared" si="11"/>
        <v>0</v>
      </c>
      <c r="K25" s="25">
        <f t="shared" si="11"/>
        <v>0</v>
      </c>
      <c r="L25" s="25">
        <f t="shared" si="11"/>
        <v>0</v>
      </c>
      <c r="M25" s="25">
        <f t="shared" si="11"/>
        <v>0</v>
      </c>
      <c r="N25" s="25">
        <f t="shared" si="11"/>
        <v>0</v>
      </c>
      <c r="O25" s="25">
        <f t="shared" si="11"/>
        <v>11666.666666666664</v>
      </c>
      <c r="P25" s="25">
        <f t="shared" si="11"/>
        <v>17500</v>
      </c>
      <c r="Q25" s="25">
        <f t="shared" si="9"/>
        <v>45233.333333333328</v>
      </c>
    </row>
    <row r="26" spans="2:17" x14ac:dyDescent="0.2">
      <c r="B26" s="16" t="s">
        <v>91</v>
      </c>
      <c r="E26" s="25">
        <f t="shared" ref="E26:P26" si="12">-E20</f>
        <v>0</v>
      </c>
      <c r="F26" s="25">
        <f t="shared" si="12"/>
        <v>6666.6666666666697</v>
      </c>
      <c r="G26" s="25">
        <f t="shared" si="12"/>
        <v>0</v>
      </c>
      <c r="H26" s="25">
        <f t="shared" si="12"/>
        <v>8000.0000000000036</v>
      </c>
      <c r="I26" s="25">
        <f t="shared" si="12"/>
        <v>5833.3333333333367</v>
      </c>
      <c r="J26" s="25">
        <f t="shared" si="12"/>
        <v>5833.3333333333367</v>
      </c>
      <c r="K26" s="25">
        <f t="shared" si="12"/>
        <v>5833.3333333333367</v>
      </c>
      <c r="L26" s="25">
        <f t="shared" si="12"/>
        <v>5833.3333333333367</v>
      </c>
      <c r="M26" s="25">
        <f t="shared" si="12"/>
        <v>5833.3333333333367</v>
      </c>
      <c r="N26" s="25">
        <f t="shared" si="12"/>
        <v>5833.3333333333367</v>
      </c>
      <c r="O26" s="25">
        <f t="shared" si="12"/>
        <v>0</v>
      </c>
      <c r="P26" s="25">
        <f t="shared" si="12"/>
        <v>0</v>
      </c>
      <c r="Q26" s="25">
        <f>SUM(E26:P26)</f>
        <v>49666.666666666693</v>
      </c>
    </row>
    <row r="27" spans="2:17" x14ac:dyDescent="0.2">
      <c r="B27" s="1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30" t="s">
        <v>96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32" t="s">
        <v>81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f t="shared" ref="Q29:Q37" si="13">SUM(E29:P29)</f>
        <v>0</v>
      </c>
    </row>
    <row r="30" spans="2:17" x14ac:dyDescent="0.2">
      <c r="B30" s="32" t="s">
        <v>82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f t="shared" si="13"/>
        <v>0</v>
      </c>
    </row>
    <row r="31" spans="2:17" x14ac:dyDescent="0.2"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36" t="s">
        <v>87</v>
      </c>
      <c r="E32" s="25"/>
      <c r="F32" s="25"/>
      <c r="G32" s="25"/>
      <c r="H32" s="25"/>
      <c r="I32" s="33"/>
      <c r="J32" s="33"/>
      <c r="K32" s="33"/>
      <c r="L32" s="33"/>
      <c r="M32" s="33"/>
      <c r="N32" s="33"/>
      <c r="O32" s="33"/>
      <c r="P32" s="33"/>
      <c r="Q32" s="33"/>
    </row>
    <row r="33" spans="2:17" x14ac:dyDescent="0.2">
      <c r="B33" s="16" t="s">
        <v>90</v>
      </c>
      <c r="E33" s="25">
        <f t="shared" ref="E33:P33" si="14">E20+E23</f>
        <v>0</v>
      </c>
      <c r="F33" s="25">
        <f t="shared" si="14"/>
        <v>833.33333333333394</v>
      </c>
      <c r="G33" s="25">
        <f t="shared" si="14"/>
        <v>0</v>
      </c>
      <c r="H33" s="25">
        <f t="shared" si="14"/>
        <v>-500</v>
      </c>
      <c r="I33" s="25">
        <f t="shared" si="14"/>
        <v>1666.666666666667</v>
      </c>
      <c r="J33" s="25">
        <f t="shared" si="14"/>
        <v>1666.666666666667</v>
      </c>
      <c r="K33" s="25">
        <f t="shared" si="14"/>
        <v>1666.666666666667</v>
      </c>
      <c r="L33" s="25">
        <f t="shared" si="14"/>
        <v>1666.666666666667</v>
      </c>
      <c r="M33" s="25">
        <f t="shared" si="14"/>
        <v>1666.666666666667</v>
      </c>
      <c r="N33" s="25">
        <f t="shared" si="14"/>
        <v>1666.666666666667</v>
      </c>
      <c r="O33" s="25">
        <f t="shared" si="14"/>
        <v>0</v>
      </c>
      <c r="P33" s="25">
        <f t="shared" si="14"/>
        <v>0</v>
      </c>
      <c r="Q33" s="25">
        <f t="shared" si="13"/>
        <v>10333.333333333336</v>
      </c>
    </row>
    <row r="34" spans="2:17" x14ac:dyDescent="0.2">
      <c r="B34" s="16" t="s">
        <v>77</v>
      </c>
      <c r="E34" s="33">
        <f t="shared" ref="E34:P34" si="15">E19+E24</f>
        <v>86666.666666666657</v>
      </c>
      <c r="F34" s="33">
        <f t="shared" si="15"/>
        <v>67500</v>
      </c>
      <c r="G34" s="33">
        <f t="shared" si="15"/>
        <v>79400</v>
      </c>
      <c r="H34" s="33">
        <f t="shared" si="15"/>
        <v>67500</v>
      </c>
      <c r="I34" s="33">
        <f t="shared" si="15"/>
        <v>67500</v>
      </c>
      <c r="J34" s="33">
        <f t="shared" si="15"/>
        <v>67500</v>
      </c>
      <c r="K34" s="33">
        <f t="shared" si="15"/>
        <v>67500</v>
      </c>
      <c r="L34" s="33">
        <f t="shared" si="15"/>
        <v>67500</v>
      </c>
      <c r="M34" s="33">
        <f t="shared" si="15"/>
        <v>67500</v>
      </c>
      <c r="N34" s="33">
        <f t="shared" si="15"/>
        <v>67500</v>
      </c>
      <c r="O34" s="33">
        <f t="shared" si="15"/>
        <v>86666.666666666657</v>
      </c>
      <c r="P34" s="33">
        <f t="shared" si="15"/>
        <v>107500</v>
      </c>
      <c r="Q34" s="25">
        <f t="shared" si="13"/>
        <v>900233.33333333326</v>
      </c>
    </row>
    <row r="35" spans="2:17" x14ac:dyDescent="0.2">
      <c r="B35" s="16" t="s">
        <v>78</v>
      </c>
      <c r="E35" s="33">
        <f>E25+E18</f>
        <v>0</v>
      </c>
      <c r="F35" s="33">
        <f t="shared" ref="F35:P35" si="16">F25+F18-F26</f>
        <v>0</v>
      </c>
      <c r="G35" s="33">
        <f t="shared" si="16"/>
        <v>0</v>
      </c>
      <c r="H35" s="33">
        <f t="shared" si="16"/>
        <v>0</v>
      </c>
      <c r="I35" s="33">
        <f t="shared" si="16"/>
        <v>0</v>
      </c>
      <c r="J35" s="33">
        <f t="shared" si="16"/>
        <v>0</v>
      </c>
      <c r="K35" s="33">
        <f t="shared" si="16"/>
        <v>0</v>
      </c>
      <c r="L35" s="33">
        <f t="shared" si="16"/>
        <v>0</v>
      </c>
      <c r="M35" s="33">
        <f t="shared" si="16"/>
        <v>0</v>
      </c>
      <c r="N35" s="33">
        <f t="shared" si="16"/>
        <v>0</v>
      </c>
      <c r="O35" s="33">
        <f t="shared" si="16"/>
        <v>0</v>
      </c>
      <c r="P35" s="33">
        <f t="shared" si="16"/>
        <v>0</v>
      </c>
      <c r="Q35" s="25">
        <f t="shared" si="13"/>
        <v>0</v>
      </c>
    </row>
    <row r="36" spans="2:17" x14ac:dyDescent="0.2"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2:17" x14ac:dyDescent="0.2">
      <c r="B37" s="31" t="s">
        <v>80</v>
      </c>
      <c r="E37" s="33">
        <f>IF(E5&lt;0, (E4*E13)+(-E5*E14)-SUM(E33:E35), (E4*E13)-SUM(E33:E35))-E26</f>
        <v>0</v>
      </c>
      <c r="F37" s="33">
        <f>IF(F5&lt;0, (F4*F13)+(-F5*F14)-SUM(F33:F35), (F4*F13)-SUM(F33:F35))-F26</f>
        <v>0</v>
      </c>
      <c r="G37" s="33">
        <f t="shared" ref="G37:P37" si="17">IF(G5&lt;0, (G4*G13)+(-G5*G14)-SUM(G33:G35), (G4*G13)-SUM(G33:G35))-G26</f>
        <v>0</v>
      </c>
      <c r="H37" s="33">
        <f t="shared" si="17"/>
        <v>0</v>
      </c>
      <c r="I37" s="33">
        <f t="shared" si="17"/>
        <v>-8.1854523159563541E-12</v>
      </c>
      <c r="J37" s="33">
        <f t="shared" si="17"/>
        <v>-8.1854523159563541E-12</v>
      </c>
      <c r="K37" s="33">
        <f t="shared" si="17"/>
        <v>-8.1854523159563541E-12</v>
      </c>
      <c r="L37" s="33">
        <f t="shared" si="17"/>
        <v>-8.1854523159563541E-12</v>
      </c>
      <c r="M37" s="33">
        <f t="shared" si="17"/>
        <v>-8.1854523159563541E-12</v>
      </c>
      <c r="N37" s="33">
        <f t="shared" si="17"/>
        <v>-8.1854523159563541E-12</v>
      </c>
      <c r="O37" s="33">
        <f t="shared" si="17"/>
        <v>0</v>
      </c>
      <c r="P37" s="33">
        <f t="shared" si="17"/>
        <v>0</v>
      </c>
      <c r="Q37" s="25">
        <f t="shared" si="13"/>
        <v>-4.9112713895738125E-11</v>
      </c>
    </row>
    <row r="39" spans="2:17" x14ac:dyDescent="0.2">
      <c r="B39" s="32" t="s">
        <v>85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"/>
  <sheetViews>
    <sheetView tabSelected="1" zoomScale="145" zoomScaleNormal="145" workbookViewId="0">
      <selection activeCell="E16" sqref="E16"/>
    </sheetView>
  </sheetViews>
  <sheetFormatPr defaultColWidth="8.85546875" defaultRowHeight="12.75" x14ac:dyDescent="0.2"/>
  <cols>
    <col min="1" max="16384" width="8.85546875" style="113"/>
  </cols>
  <sheetData>
    <row r="1" spans="2:14" ht="13.5" thickBot="1" x14ac:dyDescent="0.25"/>
    <row r="2" spans="2:14" ht="27" thickBot="1" x14ac:dyDescent="0.25">
      <c r="B2" s="118" t="s">
        <v>171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2:14" ht="15" x14ac:dyDescent="0.25">
      <c r="B3"/>
      <c r="C3" s="121"/>
      <c r="D3"/>
      <c r="E3"/>
      <c r="F3"/>
      <c r="G3"/>
      <c r="H3"/>
      <c r="I3"/>
      <c r="J3"/>
      <c r="K3"/>
      <c r="L3"/>
      <c r="M3"/>
      <c r="N3"/>
    </row>
    <row r="4" spans="2:14" ht="15.75" thickBot="1" x14ac:dyDescent="0.3">
      <c r="B4"/>
      <c r="C4"/>
      <c r="D4"/>
      <c r="E4"/>
      <c r="F4"/>
      <c r="G4"/>
      <c r="H4"/>
      <c r="I4"/>
      <c r="J4"/>
      <c r="K4"/>
      <c r="L4"/>
      <c r="M4"/>
      <c r="N4"/>
    </row>
    <row r="5" spans="2:14" ht="27" thickBot="1" x14ac:dyDescent="0.25">
      <c r="B5" s="122" t="s">
        <v>172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4"/>
    </row>
    <row r="6" spans="2:14" ht="15" x14ac:dyDescent="0.25">
      <c r="B6"/>
      <c r="C6"/>
      <c r="D6"/>
      <c r="E6"/>
      <c r="F6"/>
      <c r="G6"/>
      <c r="H6"/>
      <c r="I6"/>
      <c r="J6"/>
      <c r="K6"/>
      <c r="L6"/>
      <c r="M6"/>
      <c r="N6"/>
    </row>
    <row r="7" spans="2:14" ht="15" x14ac:dyDescent="0.25">
      <c r="B7"/>
      <c r="C7"/>
      <c r="D7"/>
      <c r="E7"/>
      <c r="F7"/>
      <c r="G7"/>
      <c r="H7"/>
      <c r="I7"/>
      <c r="J7"/>
      <c r="K7"/>
      <c r="L7"/>
      <c r="M7"/>
      <c r="N7"/>
    </row>
    <row r="8" spans="2:14" ht="21" x14ac:dyDescent="0.35">
      <c r="B8"/>
      <c r="C8" s="125" t="s">
        <v>170</v>
      </c>
      <c r="D8" s="125"/>
      <c r="E8"/>
      <c r="F8"/>
      <c r="G8"/>
      <c r="H8"/>
      <c r="I8"/>
      <c r="J8"/>
      <c r="K8"/>
      <c r="L8"/>
      <c r="M8"/>
      <c r="N8"/>
    </row>
  </sheetData>
  <mergeCells count="2">
    <mergeCell ref="B2:N2"/>
    <mergeCell ref="B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W52"/>
  <sheetViews>
    <sheetView zoomScale="85" zoomScaleNormal="85" workbookViewId="0">
      <pane xSplit="6" ySplit="5" topLeftCell="G6" activePane="bottomRight" state="frozen"/>
      <selection activeCell="J39" sqref="J39"/>
      <selection pane="topRight" activeCell="J39" sqref="J39"/>
      <selection pane="bottomLeft" activeCell="J39" sqref="J39"/>
      <selection pane="bottomRight" activeCell="I56" sqref="I56"/>
    </sheetView>
  </sheetViews>
  <sheetFormatPr defaultColWidth="9.140625" defaultRowHeight="12.75" x14ac:dyDescent="0.2"/>
  <cols>
    <col min="1" max="1" width="2.140625" style="32" customWidth="1"/>
    <col min="2" max="2" width="3" style="32" bestFit="1" customWidth="1"/>
    <col min="3" max="3" width="53.28515625" style="32" customWidth="1"/>
    <col min="4" max="4" width="9" style="32" customWidth="1"/>
    <col min="5" max="5" width="9.42578125" style="32" bestFit="1" customWidth="1"/>
    <col min="6" max="6" width="11.85546875" style="32" bestFit="1" customWidth="1"/>
    <col min="7" max="9" width="11.85546875" style="32" customWidth="1"/>
    <col min="10" max="18" width="12.85546875" style="32" customWidth="1"/>
    <col min="19" max="19" width="1.5703125" style="32" customWidth="1"/>
    <col min="20" max="20" width="12.85546875" style="32" customWidth="1"/>
    <col min="21" max="21" width="12.85546875" style="32" bestFit="1" customWidth="1"/>
    <col min="22" max="22" width="12.42578125" style="32" customWidth="1"/>
    <col min="23" max="16384" width="9.140625" style="32"/>
  </cols>
  <sheetData>
    <row r="1" spans="2:23" ht="18.75" customHeight="1" x14ac:dyDescent="0.2">
      <c r="B1" s="36" t="s">
        <v>144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2:23" x14ac:dyDescent="0.2">
      <c r="B2" s="32" t="s">
        <v>169</v>
      </c>
    </row>
    <row r="3" spans="2:23" x14ac:dyDescent="0.2"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2:23" x14ac:dyDescent="0.2">
      <c r="B4" s="49">
        <f>ROW()</f>
        <v>4</v>
      </c>
      <c r="C4" s="50" t="s">
        <v>126</v>
      </c>
      <c r="D4" s="49"/>
      <c r="E4" s="49"/>
      <c r="F4" s="68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52"/>
      <c r="S4" s="106"/>
      <c r="T4" s="105" t="s">
        <v>73</v>
      </c>
    </row>
    <row r="5" spans="2:23" x14ac:dyDescent="0.2">
      <c r="B5" s="49">
        <f>ROW()</f>
        <v>5</v>
      </c>
      <c r="C5" s="53" t="s">
        <v>118</v>
      </c>
      <c r="D5" s="54"/>
      <c r="E5" s="49"/>
      <c r="F5" s="63" t="s">
        <v>165</v>
      </c>
      <c r="G5" s="55">
        <v>44197</v>
      </c>
      <c r="H5" s="55">
        <v>44228</v>
      </c>
      <c r="I5" s="55">
        <v>44256</v>
      </c>
      <c r="J5" s="55">
        <v>44287</v>
      </c>
      <c r="K5" s="55">
        <v>44317</v>
      </c>
      <c r="L5" s="55">
        <v>44348</v>
      </c>
      <c r="M5" s="55">
        <v>44378</v>
      </c>
      <c r="N5" s="55">
        <v>44409</v>
      </c>
      <c r="O5" s="55">
        <v>44440</v>
      </c>
      <c r="P5" s="55">
        <v>44470</v>
      </c>
      <c r="Q5" s="55">
        <v>44501</v>
      </c>
      <c r="R5" s="55">
        <v>44531</v>
      </c>
      <c r="S5" s="55"/>
      <c r="T5" s="55" t="s">
        <v>74</v>
      </c>
      <c r="W5" s="80"/>
    </row>
    <row r="6" spans="2:23" x14ac:dyDescent="0.2">
      <c r="B6" s="49">
        <f>ROW()</f>
        <v>6</v>
      </c>
      <c r="C6" s="56" t="s">
        <v>127</v>
      </c>
      <c r="D6" s="57"/>
      <c r="E6" s="57"/>
      <c r="F6" s="58">
        <v>27424307</v>
      </c>
      <c r="G6" s="58">
        <v>190082.54100000023</v>
      </c>
      <c r="H6" s="58">
        <v>55692816.193999991</v>
      </c>
      <c r="I6" s="58">
        <v>49427793.006000005</v>
      </c>
      <c r="J6" s="58">
        <v>67173290.138999999</v>
      </c>
      <c r="K6" s="58">
        <v>39886487.250000007</v>
      </c>
      <c r="L6" s="58">
        <v>61005812.622000001</v>
      </c>
      <c r="M6" s="58">
        <v>60729772.836999997</v>
      </c>
      <c r="N6" s="58">
        <v>64953865.280000001</v>
      </c>
      <c r="O6" s="58">
        <v>44187659.398000009</v>
      </c>
      <c r="P6" s="58">
        <v>55493767.901000001</v>
      </c>
      <c r="Q6" s="58">
        <v>61092428.681000002</v>
      </c>
      <c r="R6" s="58">
        <v>57773650.962999992</v>
      </c>
      <c r="S6" s="76"/>
      <c r="T6" s="58">
        <f>SUM(G6:R6)</f>
        <v>617607426.81199992</v>
      </c>
      <c r="U6" s="80"/>
    </row>
    <row r="7" spans="2:23" x14ac:dyDescent="0.2">
      <c r="B7" s="49">
        <f>ROW()</f>
        <v>7</v>
      </c>
      <c r="C7" s="59" t="s">
        <v>122</v>
      </c>
      <c r="D7" s="54"/>
      <c r="E7" s="60"/>
      <c r="F7" s="100">
        <v>90937888.109999999</v>
      </c>
      <c r="G7" s="100">
        <v>47402153.259999998</v>
      </c>
      <c r="H7" s="100">
        <v>40281048.789999999</v>
      </c>
      <c r="I7" s="100">
        <v>66672076.32</v>
      </c>
      <c r="J7" s="100">
        <v>63822198.18</v>
      </c>
      <c r="K7" s="100">
        <v>69194475.930000007</v>
      </c>
      <c r="L7" s="100">
        <v>66639793.159999996</v>
      </c>
      <c r="M7" s="100">
        <v>74326958.010000005</v>
      </c>
      <c r="N7" s="100">
        <v>54130846.519999996</v>
      </c>
      <c r="O7" s="100">
        <v>55947858.600000001</v>
      </c>
      <c r="P7" s="100">
        <v>77317553.960000008</v>
      </c>
      <c r="Q7" s="100">
        <v>91582639.620000005</v>
      </c>
      <c r="R7" s="100">
        <v>73793566.469999999</v>
      </c>
      <c r="S7" s="77"/>
      <c r="T7" s="61">
        <f>SUM(G7:R7)</f>
        <v>781111168.82000005</v>
      </c>
    </row>
    <row r="8" spans="2:23" x14ac:dyDescent="0.2">
      <c r="B8" s="49">
        <f>ROW()</f>
        <v>8</v>
      </c>
      <c r="C8" s="54" t="s">
        <v>121</v>
      </c>
      <c r="D8" s="54"/>
      <c r="E8" s="54"/>
      <c r="F8" s="62">
        <f t="shared" ref="F8:T8" si="0">F7-F6</f>
        <v>63513581.109999999</v>
      </c>
      <c r="G8" s="62">
        <f>G7-G6</f>
        <v>47212070.718999997</v>
      </c>
      <c r="H8" s="62">
        <f t="shared" si="0"/>
        <v>-15411767.403999992</v>
      </c>
      <c r="I8" s="62">
        <f t="shared" si="0"/>
        <v>17244283.313999996</v>
      </c>
      <c r="J8" s="62">
        <f t="shared" si="0"/>
        <v>-3351091.9589999989</v>
      </c>
      <c r="K8" s="62">
        <f t="shared" si="0"/>
        <v>29307988.68</v>
      </c>
      <c r="L8" s="62">
        <f t="shared" si="0"/>
        <v>5633980.5379999951</v>
      </c>
      <c r="M8" s="62">
        <f t="shared" si="0"/>
        <v>13597185.173000008</v>
      </c>
      <c r="N8" s="62">
        <f t="shared" si="0"/>
        <v>-10823018.760000005</v>
      </c>
      <c r="O8" s="62">
        <f t="shared" si="0"/>
        <v>11760199.201999992</v>
      </c>
      <c r="P8" s="62">
        <f t="shared" si="0"/>
        <v>21823786.059000008</v>
      </c>
      <c r="Q8" s="62">
        <f t="shared" si="0"/>
        <v>30490210.939000003</v>
      </c>
      <c r="R8" s="62">
        <f t="shared" si="0"/>
        <v>16019915.507000007</v>
      </c>
      <c r="S8" s="78"/>
      <c r="T8" s="62">
        <f t="shared" si="0"/>
        <v>163503742.00800014</v>
      </c>
    </row>
    <row r="9" spans="2:23" x14ac:dyDescent="0.2">
      <c r="B9" s="49">
        <f>ROW()</f>
        <v>9</v>
      </c>
      <c r="C9" s="54"/>
      <c r="D9" s="54"/>
      <c r="E9" s="49"/>
      <c r="F9" s="79"/>
      <c r="G9" s="63" t="str">
        <f t="shared" ref="G9:R9" si="1">IF(G8&lt;0,"(short)","long")</f>
        <v>long</v>
      </c>
      <c r="H9" s="63" t="str">
        <f t="shared" si="1"/>
        <v>(short)</v>
      </c>
      <c r="I9" s="63" t="str">
        <f t="shared" si="1"/>
        <v>long</v>
      </c>
      <c r="J9" s="63" t="str">
        <f t="shared" si="1"/>
        <v>(short)</v>
      </c>
      <c r="K9" s="63" t="str">
        <f t="shared" si="1"/>
        <v>long</v>
      </c>
      <c r="L9" s="63" t="str">
        <f t="shared" si="1"/>
        <v>long</v>
      </c>
      <c r="M9" s="63" t="str">
        <f t="shared" si="1"/>
        <v>long</v>
      </c>
      <c r="N9" s="63" t="str">
        <f t="shared" si="1"/>
        <v>(short)</v>
      </c>
      <c r="O9" s="63" t="str">
        <f t="shared" si="1"/>
        <v>long</v>
      </c>
      <c r="P9" s="63" t="str">
        <f t="shared" si="1"/>
        <v>long</v>
      </c>
      <c r="Q9" s="63" t="str">
        <f t="shared" si="1"/>
        <v>long</v>
      </c>
      <c r="R9" s="63" t="str">
        <f t="shared" si="1"/>
        <v>long</v>
      </c>
      <c r="S9" s="79"/>
      <c r="T9" s="63"/>
    </row>
    <row r="10" spans="2:23" x14ac:dyDescent="0.2">
      <c r="B10" s="49">
        <f>ROW()</f>
        <v>10</v>
      </c>
      <c r="C10" s="54" t="s">
        <v>120</v>
      </c>
      <c r="D10" s="54"/>
      <c r="E10" s="54"/>
      <c r="F10" s="78"/>
      <c r="G10" s="62">
        <f>G8</f>
        <v>47212070.718999997</v>
      </c>
      <c r="H10" s="62">
        <f>G10+H8</f>
        <v>31800303.315000005</v>
      </c>
      <c r="I10" s="62">
        <f t="shared" ref="I10:Q10" si="2">H10+I8</f>
        <v>49044586.629000001</v>
      </c>
      <c r="J10" s="62">
        <f t="shared" si="2"/>
        <v>45693494.670000002</v>
      </c>
      <c r="K10" s="62">
        <f t="shared" si="2"/>
        <v>75001483.349999994</v>
      </c>
      <c r="L10" s="62">
        <f t="shared" si="2"/>
        <v>80635463.887999982</v>
      </c>
      <c r="M10" s="62">
        <f t="shared" si="2"/>
        <v>94232649.06099999</v>
      </c>
      <c r="N10" s="62">
        <f t="shared" si="2"/>
        <v>83409630.300999984</v>
      </c>
      <c r="O10" s="62">
        <f t="shared" si="2"/>
        <v>95169829.502999976</v>
      </c>
      <c r="P10" s="62">
        <f t="shared" si="2"/>
        <v>116993615.56199998</v>
      </c>
      <c r="Q10" s="62">
        <f t="shared" si="2"/>
        <v>147483826.50099999</v>
      </c>
      <c r="R10" s="62">
        <f>Q10+R8</f>
        <v>163503742.00799999</v>
      </c>
      <c r="S10" s="78"/>
      <c r="T10" s="62"/>
    </row>
    <row r="11" spans="2:23" x14ac:dyDescent="0.2">
      <c r="B11" s="49">
        <f>ROW()</f>
        <v>11</v>
      </c>
      <c r="C11" s="64"/>
      <c r="D11" s="65"/>
      <c r="E11" s="66"/>
      <c r="F11" s="78"/>
      <c r="G11" s="63" t="str">
        <f t="shared" ref="G11:R11" si="3">IF(G10&lt;0,"(short)","long")</f>
        <v>long</v>
      </c>
      <c r="H11" s="63" t="str">
        <f t="shared" si="3"/>
        <v>long</v>
      </c>
      <c r="I11" s="63" t="str">
        <f t="shared" si="3"/>
        <v>long</v>
      </c>
      <c r="J11" s="63" t="str">
        <f t="shared" si="3"/>
        <v>long</v>
      </c>
      <c r="K11" s="63" t="str">
        <f t="shared" si="3"/>
        <v>long</v>
      </c>
      <c r="L11" s="63" t="str">
        <f t="shared" si="3"/>
        <v>long</v>
      </c>
      <c r="M11" s="63" t="str">
        <f t="shared" si="3"/>
        <v>long</v>
      </c>
      <c r="N11" s="63" t="str">
        <f t="shared" si="3"/>
        <v>long</v>
      </c>
      <c r="O11" s="63" t="str">
        <f t="shared" si="3"/>
        <v>long</v>
      </c>
      <c r="P11" s="63" t="str">
        <f t="shared" si="3"/>
        <v>long</v>
      </c>
      <c r="Q11" s="63" t="str">
        <f t="shared" si="3"/>
        <v>long</v>
      </c>
      <c r="R11" s="63" t="str">
        <f t="shared" si="3"/>
        <v>long</v>
      </c>
      <c r="S11" s="78"/>
      <c r="T11" s="62"/>
    </row>
    <row r="12" spans="2:23" x14ac:dyDescent="0.2">
      <c r="B12" s="49">
        <f>ROW()</f>
        <v>12</v>
      </c>
      <c r="C12" s="53" t="s">
        <v>92</v>
      </c>
      <c r="D12" s="65"/>
      <c r="E12" s="66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78"/>
      <c r="T12" s="102"/>
    </row>
    <row r="13" spans="2:23" x14ac:dyDescent="0.2">
      <c r="B13" s="49">
        <f>ROW()</f>
        <v>13</v>
      </c>
      <c r="C13" s="54" t="s">
        <v>164</v>
      </c>
      <c r="D13" s="65"/>
      <c r="E13" s="66"/>
      <c r="F13" s="104">
        <f>F7/1000-F6/1000</f>
        <v>63513.581109999999</v>
      </c>
      <c r="G13" s="104">
        <f t="shared" ref="G13:Q13" si="4">G7/1000-G6/1000</f>
        <v>47212.070718999996</v>
      </c>
      <c r="H13" s="104">
        <f t="shared" si="4"/>
        <v>-15411.767403999991</v>
      </c>
      <c r="I13" s="104">
        <f t="shared" si="4"/>
        <v>17244.283314</v>
      </c>
      <c r="J13" s="104">
        <f t="shared" si="4"/>
        <v>-3351.0919590000049</v>
      </c>
      <c r="K13" s="104">
        <f t="shared" si="4"/>
        <v>29307.988679999995</v>
      </c>
      <c r="L13" s="104">
        <f t="shared" si="4"/>
        <v>5633.9805379999962</v>
      </c>
      <c r="M13" s="104">
        <f t="shared" si="4"/>
        <v>13597.185173000005</v>
      </c>
      <c r="N13" s="104">
        <f t="shared" si="4"/>
        <v>-10823.018759999999</v>
      </c>
      <c r="O13" s="104">
        <f t="shared" si="4"/>
        <v>11760.199201999989</v>
      </c>
      <c r="P13" s="104">
        <f t="shared" si="4"/>
        <v>21823.786059000005</v>
      </c>
      <c r="Q13" s="104">
        <f t="shared" si="4"/>
        <v>30490.210938999997</v>
      </c>
      <c r="R13" s="104">
        <v>16861.545507000013</v>
      </c>
      <c r="S13" s="98"/>
      <c r="T13" s="58"/>
    </row>
    <row r="14" spans="2:23" x14ac:dyDescent="0.2">
      <c r="B14" s="49">
        <f>ROW()</f>
        <v>14</v>
      </c>
      <c r="C14" s="54" t="s">
        <v>167</v>
      </c>
      <c r="D14" s="65"/>
      <c r="E14" s="66"/>
      <c r="F14" s="98"/>
      <c r="G14" s="62"/>
      <c r="H14" s="62"/>
      <c r="I14" s="62"/>
      <c r="J14" s="100"/>
      <c r="K14" s="100"/>
      <c r="L14" s="100"/>
      <c r="M14" s="100"/>
      <c r="N14" s="100"/>
      <c r="O14" s="100"/>
      <c r="P14" s="100"/>
      <c r="Q14" s="100"/>
      <c r="R14" s="100">
        <v>46.7</v>
      </c>
      <c r="S14" s="78"/>
      <c r="T14" s="58"/>
      <c r="U14" s="108"/>
      <c r="V14" s="101"/>
    </row>
    <row r="15" spans="2:23" x14ac:dyDescent="0.2">
      <c r="B15" s="49">
        <f>ROW()</f>
        <v>15</v>
      </c>
      <c r="C15" s="54" t="s">
        <v>158</v>
      </c>
      <c r="D15" s="65"/>
      <c r="E15" s="110"/>
      <c r="F15" s="99">
        <f t="shared" ref="F15:Q15" si="5">SUM(F13:F14)</f>
        <v>63513.581109999999</v>
      </c>
      <c r="G15" s="99">
        <f t="shared" si="5"/>
        <v>47212.070718999996</v>
      </c>
      <c r="H15" s="99">
        <f t="shared" si="5"/>
        <v>-15411.767403999991</v>
      </c>
      <c r="I15" s="99">
        <f t="shared" si="5"/>
        <v>17244.283314</v>
      </c>
      <c r="J15" s="99">
        <f t="shared" si="5"/>
        <v>-3351.0919590000049</v>
      </c>
      <c r="K15" s="99">
        <f t="shared" si="5"/>
        <v>29307.988679999995</v>
      </c>
      <c r="L15" s="99">
        <f t="shared" si="5"/>
        <v>5633.9805379999962</v>
      </c>
      <c r="M15" s="99">
        <f t="shared" si="5"/>
        <v>13597.185173000005</v>
      </c>
      <c r="N15" s="99">
        <f t="shared" si="5"/>
        <v>-10823.018759999999</v>
      </c>
      <c r="O15" s="99">
        <f t="shared" si="5"/>
        <v>11760.199201999989</v>
      </c>
      <c r="P15" s="99">
        <f t="shared" si="5"/>
        <v>21823.786059000005</v>
      </c>
      <c r="Q15" s="99">
        <f t="shared" si="5"/>
        <v>30490.210938999997</v>
      </c>
      <c r="R15" s="99">
        <f>SUM(R13:R14)</f>
        <v>16908.245507000014</v>
      </c>
      <c r="S15" s="99"/>
      <c r="T15" s="99"/>
    </row>
    <row r="16" spans="2:23" x14ac:dyDescent="0.2">
      <c r="B16" s="49">
        <f>ROW()</f>
        <v>16</v>
      </c>
      <c r="C16" s="54" t="s">
        <v>159</v>
      </c>
      <c r="D16" s="65"/>
      <c r="E16" s="66"/>
      <c r="F16" s="78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78"/>
      <c r="T16" s="62"/>
    </row>
    <row r="17" spans="2:22" ht="14.25" x14ac:dyDescent="0.2">
      <c r="B17" s="49">
        <f>ROW()</f>
        <v>17</v>
      </c>
      <c r="C17" s="54" t="s">
        <v>160</v>
      </c>
      <c r="D17" s="65"/>
      <c r="E17" s="111" t="s">
        <v>168</v>
      </c>
      <c r="F17" s="109">
        <f>+F15</f>
        <v>63513.581109999999</v>
      </c>
      <c r="G17" s="109">
        <f>+F17+G15</f>
        <v>110725.65182899999</v>
      </c>
      <c r="H17" s="109">
        <f t="shared" ref="H17:Q17" si="6">+G17+H15</f>
        <v>95313.884424999997</v>
      </c>
      <c r="I17" s="109">
        <f t="shared" si="6"/>
        <v>112558.167739</v>
      </c>
      <c r="J17" s="109">
        <f>+I17+J15</f>
        <v>109207.07577999998</v>
      </c>
      <c r="K17" s="109">
        <f t="shared" si="6"/>
        <v>138515.06445999997</v>
      </c>
      <c r="L17" s="109">
        <f t="shared" si="6"/>
        <v>144149.04499799997</v>
      </c>
      <c r="M17" s="109">
        <f>+L17+M15</f>
        <v>157746.23017099997</v>
      </c>
      <c r="N17" s="109">
        <f t="shared" si="6"/>
        <v>146923.21141099997</v>
      </c>
      <c r="O17" s="109">
        <f t="shared" si="6"/>
        <v>158683.41061299996</v>
      </c>
      <c r="P17" s="109">
        <f>+O17+P15</f>
        <v>180507.19667199996</v>
      </c>
      <c r="Q17" s="109">
        <f t="shared" si="6"/>
        <v>210997.40761099994</v>
      </c>
      <c r="R17" s="109">
        <f>+Q17+R15</f>
        <v>227905.65311799996</v>
      </c>
      <c r="S17" s="109"/>
      <c r="T17" s="109"/>
    </row>
    <row r="18" spans="2:22" x14ac:dyDescent="0.2">
      <c r="B18" s="49">
        <f>ROW()</f>
        <v>18</v>
      </c>
      <c r="C18" s="54"/>
      <c r="D18" s="54"/>
      <c r="E18" s="66"/>
      <c r="F18" s="78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78"/>
      <c r="T18" s="62"/>
    </row>
    <row r="19" spans="2:22" x14ac:dyDescent="0.2">
      <c r="B19" s="49">
        <f>ROW()</f>
        <v>19</v>
      </c>
      <c r="C19" s="69" t="s">
        <v>93</v>
      </c>
      <c r="D19" s="49"/>
      <c r="E19" s="49"/>
      <c r="F19" s="7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79"/>
      <c r="T19" s="49"/>
    </row>
    <row r="20" spans="2:22" x14ac:dyDescent="0.2">
      <c r="B20" s="49">
        <f>ROW()</f>
        <v>20</v>
      </c>
      <c r="C20" s="54" t="s">
        <v>119</v>
      </c>
      <c r="D20" s="49"/>
      <c r="E20" s="49"/>
      <c r="F20" s="79"/>
      <c r="G20" s="70">
        <v>4.57502563E-2</v>
      </c>
      <c r="H20" s="70">
        <v>4.5749999999999999E-2</v>
      </c>
      <c r="I20" s="70">
        <v>4.1523654945924145E-2</v>
      </c>
      <c r="J20" s="70">
        <v>3.9527260299999999E-2</v>
      </c>
      <c r="K20" s="70">
        <v>4.0565153200000002E-2</v>
      </c>
      <c r="L20" s="70">
        <v>3.9757188300000003E-2</v>
      </c>
      <c r="M20" s="70">
        <v>3.6944267400000001E-2</v>
      </c>
      <c r="N20" s="70">
        <v>4.11017672E-2</v>
      </c>
      <c r="O20" s="70">
        <v>4.2515400299999999E-2</v>
      </c>
      <c r="P20" s="70">
        <v>4.2183413599999997E-2</v>
      </c>
      <c r="Q20" s="70">
        <v>4.2345820800000003E-2</v>
      </c>
      <c r="R20" s="70">
        <v>4.2243972900000003E-2</v>
      </c>
      <c r="S20" s="79"/>
      <c r="T20" s="71"/>
    </row>
    <row r="21" spans="2:22" x14ac:dyDescent="0.2">
      <c r="B21" s="49">
        <f>ROW()</f>
        <v>21</v>
      </c>
      <c r="C21" s="54" t="s">
        <v>125</v>
      </c>
      <c r="D21" s="49"/>
      <c r="E21" s="49"/>
      <c r="F21" s="79"/>
      <c r="G21" s="70">
        <v>2.2349999999999998E-2</v>
      </c>
      <c r="H21" s="70">
        <v>4.4859999999999997E-2</v>
      </c>
      <c r="I21" s="70">
        <v>2.6738008075370082E-2</v>
      </c>
      <c r="J21" s="70">
        <v>3.8059999999999997E-2</v>
      </c>
      <c r="K21" s="70">
        <v>3.245E-2</v>
      </c>
      <c r="L21" s="70">
        <v>5.5460000000000002E-2</v>
      </c>
      <c r="M21" s="70">
        <v>8.9090000000000003E-2</v>
      </c>
      <c r="N21" s="70">
        <v>6.0139999999999999E-2</v>
      </c>
      <c r="O21" s="70">
        <v>6.6070000000000004E-2</v>
      </c>
      <c r="P21" s="70">
        <v>6.1679999999999999E-2</v>
      </c>
      <c r="Q21" s="70">
        <v>4.4830000000000002E-2</v>
      </c>
      <c r="R21" s="70">
        <v>5.0349999999999999E-2</v>
      </c>
      <c r="S21" s="79"/>
      <c r="T21" s="49"/>
    </row>
    <row r="22" spans="2:22" x14ac:dyDescent="0.2">
      <c r="B22" s="49">
        <f>ROW()</f>
        <v>22</v>
      </c>
      <c r="C22" s="54"/>
      <c r="D22" s="72"/>
      <c r="E22" s="49"/>
      <c r="F22" s="49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49"/>
    </row>
    <row r="23" spans="2:22" x14ac:dyDescent="0.2">
      <c r="B23" s="49">
        <f>ROW()</f>
        <v>23</v>
      </c>
      <c r="C23" s="53" t="s">
        <v>109</v>
      </c>
      <c r="D23" s="72" t="s">
        <v>106</v>
      </c>
      <c r="E23" s="72" t="s">
        <v>100</v>
      </c>
      <c r="F23" s="72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2:22" x14ac:dyDescent="0.2">
      <c r="B24" s="49">
        <f>ROW()</f>
        <v>24</v>
      </c>
      <c r="C24" s="51" t="s">
        <v>86</v>
      </c>
      <c r="D24" s="73"/>
      <c r="E24" s="73"/>
      <c r="F24" s="73"/>
      <c r="G24" s="62"/>
      <c r="H24" s="62"/>
      <c r="I24" s="62"/>
      <c r="J24" s="62"/>
      <c r="K24" s="68"/>
      <c r="L24" s="68"/>
      <c r="M24" s="68"/>
      <c r="N24" s="68"/>
      <c r="O24" s="68"/>
      <c r="P24" s="68"/>
      <c r="Q24" s="68"/>
      <c r="R24" s="68"/>
      <c r="S24" s="68"/>
      <c r="T24" s="68"/>
    </row>
    <row r="25" spans="2:22" x14ac:dyDescent="0.2">
      <c r="B25" s="49">
        <f>ROW()</f>
        <v>25</v>
      </c>
      <c r="C25" s="54" t="s">
        <v>98</v>
      </c>
      <c r="D25" s="67" t="s">
        <v>107</v>
      </c>
      <c r="E25" s="67" t="s">
        <v>103</v>
      </c>
      <c r="F25" s="67"/>
      <c r="G25" s="74">
        <f t="shared" ref="G25:Q25" si="7">IF(G7-G6&lt;0, G7*G20, G6*G20)</f>
        <v>8696.3249689052682</v>
      </c>
      <c r="H25" s="74">
        <f t="shared" si="7"/>
        <v>1842857.9821424999</v>
      </c>
      <c r="I25" s="74">
        <f t="shared" si="7"/>
        <v>2052422.6215197069</v>
      </c>
      <c r="J25" s="74">
        <f t="shared" si="7"/>
        <v>2522716.6403790461</v>
      </c>
      <c r="K25" s="74">
        <f t="shared" si="7"/>
        <v>1618001.4659060971</v>
      </c>
      <c r="L25" s="74">
        <f t="shared" si="7"/>
        <v>2425419.5798073709</v>
      </c>
      <c r="M25" s="74">
        <f t="shared" si="7"/>
        <v>2243616.9668313847</v>
      </c>
      <c r="N25" s="74">
        <f t="shared" si="7"/>
        <v>2224873.4520039698</v>
      </c>
      <c r="O25" s="74">
        <f t="shared" si="7"/>
        <v>1878656.0276260274</v>
      </c>
      <c r="P25" s="74">
        <f t="shared" si="7"/>
        <v>2340916.5635902868</v>
      </c>
      <c r="Q25" s="74">
        <f t="shared" si="7"/>
        <v>2587009.0371624068</v>
      </c>
      <c r="R25" s="74">
        <f>IF(R7-R6&lt;0, R7*R20, R6*R20)</f>
        <v>2440588.5456150309</v>
      </c>
      <c r="S25" s="74"/>
      <c r="T25" s="74">
        <f>SUM(G25:R25)</f>
        <v>24185775.207552735</v>
      </c>
    </row>
    <row r="26" spans="2:22" x14ac:dyDescent="0.2">
      <c r="B26" s="49">
        <f>ROW()</f>
        <v>26</v>
      </c>
      <c r="C26" s="54" t="s">
        <v>123</v>
      </c>
      <c r="D26" s="67" t="s">
        <v>107</v>
      </c>
      <c r="E26" s="67" t="s">
        <v>101</v>
      </c>
      <c r="F26" s="67"/>
      <c r="G26" s="74">
        <f t="shared" ref="G26:Q26" si="8">IF(G8&gt;0, G8*G20, 0)</f>
        <v>2159964.3358479752</v>
      </c>
      <c r="H26" s="74">
        <f t="shared" si="8"/>
        <v>0</v>
      </c>
      <c r="I26" s="74">
        <f t="shared" si="8"/>
        <v>716045.67012029316</v>
      </c>
      <c r="J26" s="74">
        <f t="shared" si="8"/>
        <v>0</v>
      </c>
      <c r="K26" s="74">
        <f t="shared" si="8"/>
        <v>1188883.0507880659</v>
      </c>
      <c r="L26" s="74">
        <f t="shared" si="8"/>
        <v>223991.22512780112</v>
      </c>
      <c r="M26" s="74">
        <f t="shared" si="8"/>
        <v>502338.04491862759</v>
      </c>
      <c r="N26" s="74">
        <f t="shared" si="8"/>
        <v>0</v>
      </c>
      <c r="O26" s="74">
        <f t="shared" si="8"/>
        <v>499989.5766807702</v>
      </c>
      <c r="P26" s="74">
        <f t="shared" si="8"/>
        <v>920601.79364471126</v>
      </c>
      <c r="Q26" s="74">
        <f t="shared" si="8"/>
        <v>1291133.0085770939</v>
      </c>
      <c r="R26" s="74">
        <f>IF(R8&gt;0, R8*R20, 0)</f>
        <v>676744.87653799809</v>
      </c>
      <c r="S26" s="74"/>
      <c r="T26" s="74">
        <f>SUM(G26:R26)</f>
        <v>8179691.5822433373</v>
      </c>
    </row>
    <row r="27" spans="2:22" x14ac:dyDescent="0.2">
      <c r="B27" s="49">
        <f>ROW()</f>
        <v>27</v>
      </c>
      <c r="C27" s="54" t="s">
        <v>124</v>
      </c>
      <c r="D27" s="67" t="s">
        <v>108</v>
      </c>
      <c r="E27" s="67" t="s">
        <v>101</v>
      </c>
      <c r="F27" s="67"/>
      <c r="G27" s="74">
        <f t="shared" ref="G27:Q27" si="9">IF(G8&gt;0, -G8*G21, 0)</f>
        <v>-1055189.7805696498</v>
      </c>
      <c r="H27" s="74">
        <f t="shared" si="9"/>
        <v>0</v>
      </c>
      <c r="I27" s="74">
        <f t="shared" si="9"/>
        <v>-461077.78650370147</v>
      </c>
      <c r="J27" s="74">
        <f t="shared" si="9"/>
        <v>0</v>
      </c>
      <c r="K27" s="74">
        <f t="shared" si="9"/>
        <v>-951044.23266600003</v>
      </c>
      <c r="L27" s="74">
        <f t="shared" si="9"/>
        <v>-312460.56063747976</v>
      </c>
      <c r="M27" s="74">
        <f t="shared" si="9"/>
        <v>-1211373.2270625706</v>
      </c>
      <c r="N27" s="74">
        <f t="shared" si="9"/>
        <v>0</v>
      </c>
      <c r="O27" s="74">
        <f t="shared" si="9"/>
        <v>-776996.36127613951</v>
      </c>
      <c r="P27" s="74">
        <f t="shared" si="9"/>
        <v>-1346091.1241191204</v>
      </c>
      <c r="Q27" s="74">
        <f t="shared" si="9"/>
        <v>-1366876.1563953701</v>
      </c>
      <c r="R27" s="74">
        <f>IF(R8&gt;0, -R8*R21, 0)</f>
        <v>-806602.74577745027</v>
      </c>
      <c r="S27" s="74"/>
      <c r="T27" s="74">
        <f>SUM(G27:R27)</f>
        <v>-8287711.9750074828</v>
      </c>
    </row>
    <row r="28" spans="2:22" x14ac:dyDescent="0.2">
      <c r="B28" s="49">
        <f>ROW()</f>
        <v>28</v>
      </c>
      <c r="C28" s="54" t="s">
        <v>99</v>
      </c>
      <c r="D28" s="67" t="s">
        <v>108</v>
      </c>
      <c r="E28" s="67" t="s">
        <v>102</v>
      </c>
      <c r="F28" s="67"/>
      <c r="G28" s="74">
        <f t="shared" ref="G28:Q28" si="10">IF(G8&lt;0, -G8*G21, 0)</f>
        <v>0</v>
      </c>
      <c r="H28" s="74">
        <f t="shared" si="10"/>
        <v>691371.88574343955</v>
      </c>
      <c r="I28" s="74">
        <f t="shared" si="10"/>
        <v>0</v>
      </c>
      <c r="J28" s="74">
        <f t="shared" si="10"/>
        <v>127542.55995953994</v>
      </c>
      <c r="K28" s="74">
        <f t="shared" si="10"/>
        <v>0</v>
      </c>
      <c r="L28" s="74">
        <f t="shared" si="10"/>
        <v>0</v>
      </c>
      <c r="M28" s="74">
        <f t="shared" si="10"/>
        <v>0</v>
      </c>
      <c r="N28" s="74">
        <f t="shared" si="10"/>
        <v>650896.34822640033</v>
      </c>
      <c r="O28" s="74">
        <f t="shared" si="10"/>
        <v>0</v>
      </c>
      <c r="P28" s="74">
        <f t="shared" si="10"/>
        <v>0</v>
      </c>
      <c r="Q28" s="74">
        <f t="shared" si="10"/>
        <v>0</v>
      </c>
      <c r="R28" s="74">
        <f>IF(R8&lt;0, -R8*R21, 0)</f>
        <v>0</v>
      </c>
      <c r="S28" s="74"/>
      <c r="T28" s="74">
        <f>SUM(G28:R28)</f>
        <v>1469810.7939293799</v>
      </c>
    </row>
    <row r="29" spans="2:22" x14ac:dyDescent="0.2">
      <c r="B29" s="49">
        <f>ROW()</f>
        <v>29</v>
      </c>
      <c r="C29" s="49"/>
      <c r="D29" s="67"/>
      <c r="E29" s="67"/>
      <c r="F29" s="67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V29" s="82"/>
    </row>
    <row r="30" spans="2:22" x14ac:dyDescent="0.2">
      <c r="B30" s="49">
        <f>ROW()</f>
        <v>30</v>
      </c>
      <c r="C30" s="53" t="s">
        <v>161</v>
      </c>
      <c r="D30" s="67"/>
      <c r="E30" s="67"/>
      <c r="F30" s="67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V30" s="82"/>
    </row>
    <row r="31" spans="2:22" x14ac:dyDescent="0.2">
      <c r="B31" s="49">
        <f>ROW()</f>
        <v>31</v>
      </c>
      <c r="C31" s="49" t="s">
        <v>162</v>
      </c>
      <c r="D31" s="67" t="s">
        <v>107</v>
      </c>
      <c r="E31" s="67" t="s">
        <v>163</v>
      </c>
      <c r="F31" s="67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V31" s="82"/>
    </row>
    <row r="32" spans="2:22" x14ac:dyDescent="0.2">
      <c r="B32" s="49">
        <f>ROW()</f>
        <v>32</v>
      </c>
      <c r="C32" s="49"/>
      <c r="D32" s="67"/>
      <c r="E32" s="67"/>
      <c r="F32" s="67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V32" s="82"/>
    </row>
    <row r="33" spans="2:20" x14ac:dyDescent="0.2">
      <c r="B33" s="49">
        <f>ROW()</f>
        <v>33</v>
      </c>
      <c r="C33" s="54"/>
      <c r="D33" s="49"/>
      <c r="E33" s="49"/>
      <c r="F33" s="49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49"/>
    </row>
    <row r="34" spans="2:20" x14ac:dyDescent="0.2">
      <c r="B34" s="49">
        <f>ROW()</f>
        <v>34</v>
      </c>
      <c r="C34" s="49" t="s">
        <v>85</v>
      </c>
      <c r="D34" s="49"/>
      <c r="E34" s="49"/>
      <c r="F34" s="49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49"/>
    </row>
    <row r="35" spans="2:20" ht="14.25" x14ac:dyDescent="0.2">
      <c r="B35" s="49">
        <f>ROW()</f>
        <v>35</v>
      </c>
      <c r="C35" s="75" t="s">
        <v>97</v>
      </c>
      <c r="D35" s="49"/>
      <c r="E35" s="49"/>
      <c r="F35" s="49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49"/>
    </row>
    <row r="36" spans="2:20" x14ac:dyDescent="0.2">
      <c r="B36" s="32">
        <f>ROW()</f>
        <v>36</v>
      </c>
    </row>
    <row r="37" spans="2:20" x14ac:dyDescent="0.2">
      <c r="B37" s="32">
        <f>ROW()</f>
        <v>37</v>
      </c>
      <c r="C37" s="40" t="s">
        <v>104</v>
      </c>
      <c r="D37" s="35"/>
    </row>
    <row r="38" spans="2:20" x14ac:dyDescent="0.2">
      <c r="B38" s="32">
        <f>ROW()</f>
        <v>38</v>
      </c>
      <c r="C38" s="45" t="s">
        <v>95</v>
      </c>
      <c r="D38" s="35"/>
    </row>
    <row r="39" spans="2:20" x14ac:dyDescent="0.2">
      <c r="B39" s="32">
        <f>ROW()</f>
        <v>39</v>
      </c>
      <c r="C39" s="43" t="s">
        <v>110</v>
      </c>
      <c r="D39" s="41" t="s">
        <v>108</v>
      </c>
      <c r="E39" s="35"/>
      <c r="F39" s="35"/>
      <c r="G39" s="44">
        <f t="shared" ref="G39:R39" si="11">IF(G28&gt;0, -G28, -G27)</f>
        <v>1055189.7805696498</v>
      </c>
      <c r="H39" s="44">
        <f t="shared" si="11"/>
        <v>-691371.88574343955</v>
      </c>
      <c r="I39" s="44">
        <f t="shared" si="11"/>
        <v>461077.78650370147</v>
      </c>
      <c r="J39" s="44">
        <f t="shared" si="11"/>
        <v>-127542.55995953994</v>
      </c>
      <c r="K39" s="44">
        <f t="shared" si="11"/>
        <v>951044.23266600003</v>
      </c>
      <c r="L39" s="44">
        <f t="shared" si="11"/>
        <v>312460.56063747976</v>
      </c>
      <c r="M39" s="44">
        <f t="shared" si="11"/>
        <v>1211373.2270625706</v>
      </c>
      <c r="N39" s="44">
        <f t="shared" si="11"/>
        <v>-650896.34822640033</v>
      </c>
      <c r="O39" s="44">
        <f t="shared" si="11"/>
        <v>776996.36127613951</v>
      </c>
      <c r="P39" s="44">
        <f t="shared" si="11"/>
        <v>1346091.1241191204</v>
      </c>
      <c r="Q39" s="44">
        <f t="shared" si="11"/>
        <v>1366876.1563953701</v>
      </c>
      <c r="R39" s="44">
        <f t="shared" si="11"/>
        <v>806602.74577745027</v>
      </c>
      <c r="S39" s="44"/>
      <c r="T39" s="44">
        <f>SUM(G39:R39)</f>
        <v>6817901.1810781024</v>
      </c>
    </row>
    <row r="40" spans="2:20" ht="15" x14ac:dyDescent="0.25">
      <c r="B40" s="32">
        <f>ROW()</f>
        <v>40</v>
      </c>
      <c r="C40" s="43" t="s">
        <v>111</v>
      </c>
      <c r="D40" s="41" t="s">
        <v>107</v>
      </c>
      <c r="E40" s="35"/>
      <c r="F40"/>
      <c r="G40" s="44">
        <f t="shared" ref="G40:R40" si="12">IF(G28&gt;0, G28, 0)</f>
        <v>0</v>
      </c>
      <c r="H40" s="44">
        <f t="shared" si="12"/>
        <v>691371.88574343955</v>
      </c>
      <c r="I40" s="44">
        <f t="shared" si="12"/>
        <v>0</v>
      </c>
      <c r="J40" s="44">
        <f t="shared" si="12"/>
        <v>127542.55995953994</v>
      </c>
      <c r="K40" s="44">
        <f t="shared" si="12"/>
        <v>0</v>
      </c>
      <c r="L40" s="44">
        <f t="shared" si="12"/>
        <v>0</v>
      </c>
      <c r="M40" s="44">
        <f t="shared" si="12"/>
        <v>0</v>
      </c>
      <c r="N40" s="44">
        <f t="shared" si="12"/>
        <v>650896.34822640033</v>
      </c>
      <c r="O40" s="44">
        <f t="shared" si="12"/>
        <v>0</v>
      </c>
      <c r="P40" s="44">
        <f t="shared" si="12"/>
        <v>0</v>
      </c>
      <c r="Q40" s="44">
        <f t="shared" si="12"/>
        <v>0</v>
      </c>
      <c r="R40" s="44">
        <f t="shared" si="12"/>
        <v>0</v>
      </c>
      <c r="S40" s="44"/>
      <c r="T40" s="44">
        <f>SUM(G40:R40)</f>
        <v>1469810.7939293799</v>
      </c>
    </row>
    <row r="41" spans="2:20" ht="13.5" thickBot="1" x14ac:dyDescent="0.25">
      <c r="B41" s="32">
        <f>ROW()</f>
        <v>41</v>
      </c>
      <c r="C41" s="43" t="s">
        <v>112</v>
      </c>
      <c r="D41" s="41" t="s">
        <v>107</v>
      </c>
      <c r="E41" s="114"/>
      <c r="F41" s="103"/>
      <c r="G41" s="44">
        <f t="shared" ref="G41:R41" si="13">IF(G27&lt;0, G27, 0)</f>
        <v>-1055189.7805696498</v>
      </c>
      <c r="H41" s="44">
        <f t="shared" si="13"/>
        <v>0</v>
      </c>
      <c r="I41" s="44">
        <f t="shared" si="13"/>
        <v>-461077.78650370147</v>
      </c>
      <c r="J41" s="44">
        <f t="shared" si="13"/>
        <v>0</v>
      </c>
      <c r="K41" s="44">
        <f t="shared" si="13"/>
        <v>-951044.23266600003</v>
      </c>
      <c r="L41" s="44">
        <f t="shared" si="13"/>
        <v>-312460.56063747976</v>
      </c>
      <c r="M41" s="44">
        <f t="shared" si="13"/>
        <v>-1211373.2270625706</v>
      </c>
      <c r="N41" s="44">
        <f t="shared" si="13"/>
        <v>0</v>
      </c>
      <c r="O41" s="44">
        <f t="shared" si="13"/>
        <v>-776996.36127613951</v>
      </c>
      <c r="P41" s="44">
        <f t="shared" si="13"/>
        <v>-1346091.1241191204</v>
      </c>
      <c r="Q41" s="44">
        <f t="shared" si="13"/>
        <v>-1366876.1563953701</v>
      </c>
      <c r="R41" s="44">
        <f t="shared" si="13"/>
        <v>-806602.74577745027</v>
      </c>
      <c r="S41" s="44"/>
      <c r="T41" s="44">
        <f>SUM(G41:R41)</f>
        <v>-8287711.9750074828</v>
      </c>
    </row>
    <row r="42" spans="2:20" ht="16.5" thickTop="1" thickBot="1" x14ac:dyDescent="0.25">
      <c r="B42" s="32">
        <f>ROW()</f>
        <v>42</v>
      </c>
      <c r="C42" s="43" t="s">
        <v>166</v>
      </c>
      <c r="D42" s="116" t="s">
        <v>107</v>
      </c>
      <c r="E42" s="115"/>
      <c r="F42" s="103"/>
      <c r="G42" s="44"/>
      <c r="H42" s="117"/>
      <c r="I42" s="115"/>
      <c r="J42" s="44"/>
      <c r="K42" s="117"/>
      <c r="L42" s="115"/>
      <c r="M42" s="44"/>
      <c r="N42" s="117"/>
      <c r="O42" s="115"/>
      <c r="P42" s="44"/>
      <c r="Q42" s="117"/>
      <c r="R42" s="115"/>
      <c r="S42" s="112"/>
      <c r="T42" s="44"/>
    </row>
    <row r="43" spans="2:20" ht="15" x14ac:dyDescent="0.25">
      <c r="B43" s="32">
        <f>ROW()</f>
        <v>43</v>
      </c>
      <c r="C43" s="43"/>
      <c r="D43" s="41"/>
      <c r="E43" s="48"/>
      <c r="F43"/>
      <c r="G43"/>
      <c r="H43"/>
      <c r="I43"/>
      <c r="J43"/>
      <c r="K43"/>
      <c r="L43"/>
      <c r="M43"/>
      <c r="N43"/>
      <c r="O43"/>
      <c r="P43"/>
      <c r="Q43"/>
      <c r="R43"/>
      <c r="S43" s="44"/>
      <c r="T43" s="44"/>
    </row>
    <row r="44" spans="2:20" x14ac:dyDescent="0.2">
      <c r="B44" s="32">
        <f>ROW()</f>
        <v>44</v>
      </c>
      <c r="C44" s="42" t="s">
        <v>87</v>
      </c>
      <c r="D44" s="35"/>
      <c r="E44" s="35"/>
      <c r="F44" s="35"/>
      <c r="G44" s="44"/>
      <c r="H44" s="44"/>
      <c r="I44" s="44"/>
      <c r="J44" s="44"/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2:20" x14ac:dyDescent="0.2">
      <c r="B45" s="32">
        <f>ROW()</f>
        <v>45</v>
      </c>
      <c r="C45" s="43" t="s">
        <v>77</v>
      </c>
      <c r="D45" s="35"/>
      <c r="E45" s="35"/>
      <c r="F45" s="35"/>
      <c r="G45" s="46">
        <f t="shared" ref="G45:R45" si="14">G40+G25+G26+G41+G43</f>
        <v>1113470.8802472306</v>
      </c>
      <c r="H45" s="46">
        <f t="shared" si="14"/>
        <v>2534229.8678859393</v>
      </c>
      <c r="I45" s="46">
        <f t="shared" si="14"/>
        <v>2307390.5051362985</v>
      </c>
      <c r="J45" s="46">
        <f t="shared" si="14"/>
        <v>2650259.2003385862</v>
      </c>
      <c r="K45" s="46">
        <f t="shared" si="14"/>
        <v>1855840.2840281629</v>
      </c>
      <c r="L45" s="46">
        <f t="shared" si="14"/>
        <v>2336950.2442976926</v>
      </c>
      <c r="M45" s="46">
        <f t="shared" si="14"/>
        <v>1534581.7846874415</v>
      </c>
      <c r="N45" s="46">
        <f t="shared" si="14"/>
        <v>2875769.8002303699</v>
      </c>
      <c r="O45" s="46">
        <f t="shared" si="14"/>
        <v>1601649.243030658</v>
      </c>
      <c r="P45" s="46">
        <f t="shared" si="14"/>
        <v>1915427.2331158777</v>
      </c>
      <c r="Q45" s="46">
        <f t="shared" si="14"/>
        <v>2511265.8893441306</v>
      </c>
      <c r="R45" s="46">
        <f t="shared" si="14"/>
        <v>2310730.6763755791</v>
      </c>
      <c r="S45" s="46"/>
      <c r="T45" s="44">
        <f>SUM(G45:R45)</f>
        <v>25547565.608717967</v>
      </c>
    </row>
    <row r="46" spans="2:20" x14ac:dyDescent="0.2">
      <c r="B46" s="32">
        <f>ROW()</f>
        <v>46</v>
      </c>
      <c r="C46" s="43" t="s">
        <v>105</v>
      </c>
      <c r="D46" s="35"/>
      <c r="E46" s="35"/>
      <c r="F46" s="35"/>
      <c r="G46" s="46">
        <f t="shared" ref="G46:R46" si="15">G28+G39+G27</f>
        <v>0</v>
      </c>
      <c r="H46" s="46">
        <f t="shared" si="15"/>
        <v>0</v>
      </c>
      <c r="I46" s="46">
        <f t="shared" si="15"/>
        <v>0</v>
      </c>
      <c r="J46" s="46">
        <f t="shared" si="15"/>
        <v>0</v>
      </c>
      <c r="K46" s="46">
        <f t="shared" si="15"/>
        <v>0</v>
      </c>
      <c r="L46" s="46">
        <f t="shared" si="15"/>
        <v>0</v>
      </c>
      <c r="M46" s="46">
        <f t="shared" si="15"/>
        <v>0</v>
      </c>
      <c r="N46" s="46">
        <f t="shared" si="15"/>
        <v>0</v>
      </c>
      <c r="O46" s="46">
        <f t="shared" si="15"/>
        <v>0</v>
      </c>
      <c r="P46" s="46">
        <f t="shared" si="15"/>
        <v>0</v>
      </c>
      <c r="Q46" s="46">
        <f t="shared" si="15"/>
        <v>0</v>
      </c>
      <c r="R46" s="46">
        <f t="shared" si="15"/>
        <v>0</v>
      </c>
      <c r="S46" s="46"/>
      <c r="T46" s="44">
        <f>SUM(G46:R46)</f>
        <v>0</v>
      </c>
    </row>
    <row r="47" spans="2:20" x14ac:dyDescent="0.2">
      <c r="B47" s="32">
        <f>ROW()</f>
        <v>47</v>
      </c>
      <c r="C47" s="35"/>
      <c r="D47" s="35"/>
      <c r="E47" s="35"/>
      <c r="F47" s="35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2:20" x14ac:dyDescent="0.2">
      <c r="B48" s="32">
        <f>ROW()</f>
        <v>48</v>
      </c>
      <c r="C48" s="47" t="s">
        <v>117</v>
      </c>
      <c r="D48" s="35"/>
      <c r="E48" s="35"/>
      <c r="F48" s="35"/>
      <c r="G48" s="46">
        <f t="shared" ref="G48:Q48" si="16">IF(G8&lt;0, (G7*G20)+(-G8*G21)-SUM(G45:G46), (G7*G20)-SUM(G45:G46))+G27</f>
        <v>0</v>
      </c>
      <c r="H48" s="46">
        <f t="shared" si="16"/>
        <v>0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>IF(R8&lt;0, (R7*R20)+(-R8*R21)-SUM(R45:R46), (R7*R20)-SUM(R45:R46))+R27</f>
        <v>0</v>
      </c>
      <c r="S48" s="46"/>
      <c r="T48" s="44">
        <f>SUM(G48:R48)</f>
        <v>0</v>
      </c>
    </row>
    <row r="49" spans="2:20" x14ac:dyDescent="0.2">
      <c r="B49" s="32">
        <f>ROW()</f>
        <v>49</v>
      </c>
      <c r="C49" s="40" t="s">
        <v>115</v>
      </c>
      <c r="D49" s="35"/>
      <c r="E49" s="35"/>
      <c r="F49" s="35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2:20" x14ac:dyDescent="0.2">
      <c r="B50" s="32">
        <f>ROW()</f>
        <v>50</v>
      </c>
      <c r="C50" s="40" t="s">
        <v>113</v>
      </c>
      <c r="D50" s="35"/>
      <c r="E50" s="35"/>
      <c r="F50" s="35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2:20" x14ac:dyDescent="0.2">
      <c r="B51" s="32">
        <f>ROW()</f>
        <v>51</v>
      </c>
      <c r="C51" s="40" t="s">
        <v>116</v>
      </c>
      <c r="D51" s="38"/>
      <c r="E51" s="38"/>
      <c r="F51" s="38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2:20" x14ac:dyDescent="0.2">
      <c r="B52" s="32">
        <f>ROW()</f>
        <v>52</v>
      </c>
      <c r="C52" s="40" t="s">
        <v>114</v>
      </c>
    </row>
  </sheetData>
  <printOptions horizontalCentered="1"/>
  <pageMargins left="0.2" right="0.2" top="0.6" bottom="0.75" header="0.3" footer="0.2"/>
  <pageSetup scale="92" orientation="landscape" r:id="rId1"/>
  <headerFooter>
    <oddFooter>&amp;L&amp;9&amp;Z&amp;F</oddFooter>
  </headerFooter>
  <customProperties>
    <customPr name="_pios_id" r:id="rId2"/>
    <customPr name="CofWorksheetType" r:id="rId3"/>
  </customProperties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pane xSplit="2" ySplit="2" topLeftCell="C3" activePane="bottomRight" state="frozen"/>
      <selection activeCell="J39" sqref="J39"/>
      <selection pane="topRight" activeCell="J39" sqref="J39"/>
      <selection pane="bottomLeft" activeCell="J39" sqref="J39"/>
      <selection pane="bottomRight" activeCell="C15" sqref="C15"/>
    </sheetView>
  </sheetViews>
  <sheetFormatPr defaultRowHeight="15" x14ac:dyDescent="0.25"/>
  <cols>
    <col min="1" max="1" width="4.85546875" customWidth="1"/>
    <col min="2" max="2" width="15.5703125" bestFit="1" customWidth="1"/>
    <col min="3" max="3" width="15.85546875" bestFit="1" customWidth="1"/>
    <col min="11" max="12" width="9.85546875" bestFit="1" customWidth="1"/>
    <col min="16" max="17" width="10.140625" bestFit="1" customWidth="1"/>
  </cols>
  <sheetData>
    <row r="1" spans="1:17" x14ac:dyDescent="0.25">
      <c r="A1" s="36" t="s">
        <v>153</v>
      </c>
      <c r="B1" s="83"/>
    </row>
    <row r="2" spans="1:17" x14ac:dyDescent="0.25">
      <c r="A2" s="36" t="s">
        <v>154</v>
      </c>
      <c r="B2" s="83"/>
    </row>
    <row r="3" spans="1:17" x14ac:dyDescent="0.25">
      <c r="A3" s="32" t="s">
        <v>155</v>
      </c>
      <c r="B3" s="83"/>
    </row>
    <row r="5" spans="1:17" x14ac:dyDescent="0.25">
      <c r="B5" t="s">
        <v>156</v>
      </c>
      <c r="C5" s="94">
        <f>+Q13</f>
        <v>19449.009999999998</v>
      </c>
    </row>
    <row r="6" spans="1:17" x14ac:dyDescent="0.25">
      <c r="B6" t="s">
        <v>157</v>
      </c>
      <c r="C6" s="95">
        <v>113868.55999999998</v>
      </c>
    </row>
    <row r="9" spans="1:17" ht="15.75" thickBot="1" x14ac:dyDescent="0.3"/>
    <row r="10" spans="1:17" ht="15.75" thickTop="1" x14ac:dyDescent="0.25">
      <c r="B10" s="86" t="s">
        <v>146</v>
      </c>
      <c r="C10" s="87" t="s">
        <v>147</v>
      </c>
      <c r="D10" s="87" t="s">
        <v>148</v>
      </c>
      <c r="E10" s="88">
        <v>44197</v>
      </c>
      <c r="F10" s="88">
        <v>44228</v>
      </c>
      <c r="G10" s="88">
        <v>44256</v>
      </c>
      <c r="H10" s="88">
        <v>44287</v>
      </c>
      <c r="I10" s="88">
        <v>44317</v>
      </c>
      <c r="J10" s="88">
        <v>44348</v>
      </c>
      <c r="K10" s="88">
        <v>44378</v>
      </c>
      <c r="L10" s="88">
        <v>44409</v>
      </c>
      <c r="M10" s="88">
        <v>44440</v>
      </c>
      <c r="N10" s="88">
        <v>44470</v>
      </c>
      <c r="O10" s="88">
        <v>44501</v>
      </c>
      <c r="P10" s="88">
        <v>44531</v>
      </c>
      <c r="Q10" s="89" t="s">
        <v>149</v>
      </c>
    </row>
    <row r="11" spans="1:17" x14ac:dyDescent="0.25">
      <c r="B11" s="90">
        <v>92001233</v>
      </c>
      <c r="C11" s="91" t="s">
        <v>150</v>
      </c>
      <c r="D11" s="91" t="s">
        <v>151</v>
      </c>
      <c r="E11" s="92">
        <v>0</v>
      </c>
      <c r="F11" s="92">
        <v>0</v>
      </c>
      <c r="G11" s="92">
        <v>3322.13</v>
      </c>
      <c r="H11" s="92">
        <v>6090.51</v>
      </c>
      <c r="I11" s="92">
        <v>4983.1499999999996</v>
      </c>
      <c r="J11" s="92">
        <v>5536.83</v>
      </c>
      <c r="K11" s="92">
        <v>0</v>
      </c>
      <c r="L11" s="92">
        <v>-8443.61</v>
      </c>
      <c r="M11" s="92">
        <v>0</v>
      </c>
      <c r="N11" s="92">
        <v>0</v>
      </c>
      <c r="O11" s="92">
        <v>0</v>
      </c>
      <c r="P11" s="92">
        <v>0</v>
      </c>
      <c r="Q11" s="93">
        <f t="shared" ref="Q11:Q12" si="0">SUM(E11:P11)</f>
        <v>11489.009999999998</v>
      </c>
    </row>
    <row r="12" spans="1:17" x14ac:dyDescent="0.25">
      <c r="B12" s="90">
        <v>92301153</v>
      </c>
      <c r="C12" s="91" t="s">
        <v>150</v>
      </c>
      <c r="D12" s="91" t="s">
        <v>152</v>
      </c>
      <c r="E12" s="92">
        <v>0</v>
      </c>
      <c r="F12" s="92">
        <v>0</v>
      </c>
      <c r="G12" s="92">
        <v>7960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3">
        <f t="shared" si="0"/>
        <v>7960</v>
      </c>
    </row>
    <row r="13" spans="1:17" x14ac:dyDescent="0.25">
      <c r="Q13" s="94">
        <f>SUM(Q11:Q12)</f>
        <v>19449.009999999998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3" workbookViewId="0">
      <selection activeCell="I33" sqref="I33"/>
    </sheetView>
  </sheetViews>
  <sheetFormatPr defaultRowHeight="15" x14ac:dyDescent="0.25"/>
  <cols>
    <col min="3" max="3" width="18.5703125" bestFit="1" customWidth="1"/>
    <col min="4" max="4" width="28.7109375" bestFit="1" customWidth="1"/>
    <col min="5" max="5" width="26.42578125" bestFit="1" customWidth="1"/>
    <col min="6" max="6" width="15.42578125" bestFit="1" customWidth="1"/>
  </cols>
  <sheetData>
    <row r="1" spans="1:8" x14ac:dyDescent="0.25">
      <c r="A1" s="36" t="s">
        <v>144</v>
      </c>
      <c r="B1" s="83"/>
      <c r="C1" s="83"/>
      <c r="D1" s="83"/>
      <c r="E1" s="83"/>
      <c r="F1" s="83"/>
      <c r="G1" s="83"/>
      <c r="H1" s="83"/>
    </row>
    <row r="2" spans="1:8" x14ac:dyDescent="0.25">
      <c r="A2" s="32" t="s">
        <v>145</v>
      </c>
      <c r="B2" s="83"/>
      <c r="C2" s="83"/>
      <c r="D2" s="83"/>
      <c r="E2" s="83"/>
      <c r="F2" s="83"/>
      <c r="G2" s="83"/>
      <c r="H2" s="83"/>
    </row>
    <row r="3" spans="1:8" x14ac:dyDescent="0.25">
      <c r="A3" s="83"/>
      <c r="B3" s="83"/>
      <c r="C3" s="83"/>
      <c r="D3" s="83"/>
      <c r="E3" s="83"/>
      <c r="F3" s="83"/>
      <c r="G3" s="83"/>
      <c r="H3" s="83"/>
    </row>
    <row r="4" spans="1:8" x14ac:dyDescent="0.25">
      <c r="A4" s="83"/>
      <c r="B4" s="85" t="s">
        <v>73</v>
      </c>
      <c r="C4" s="85" t="s">
        <v>143</v>
      </c>
      <c r="D4" s="85" t="s">
        <v>142</v>
      </c>
      <c r="E4" s="85" t="s">
        <v>141</v>
      </c>
      <c r="F4" s="85" t="s">
        <v>140</v>
      </c>
      <c r="G4" s="83"/>
      <c r="H4" s="83"/>
    </row>
    <row r="5" spans="1:8" x14ac:dyDescent="0.25">
      <c r="A5" s="83"/>
      <c r="B5" s="83" t="s">
        <v>139</v>
      </c>
      <c r="C5" s="81">
        <v>14313279.369999999</v>
      </c>
      <c r="D5" s="81"/>
      <c r="E5" s="81">
        <v>0</v>
      </c>
      <c r="F5" s="84">
        <f>C5+D5-E5</f>
        <v>14313279.369999999</v>
      </c>
      <c r="G5" s="83"/>
      <c r="H5" s="83"/>
    </row>
    <row r="6" spans="1:8" x14ac:dyDescent="0.25">
      <c r="A6" s="83"/>
      <c r="B6" s="83" t="s">
        <v>138</v>
      </c>
      <c r="C6" s="84">
        <f>F5</f>
        <v>14313279.369999999</v>
      </c>
      <c r="D6" s="81"/>
      <c r="E6" s="97">
        <v>112067.46</v>
      </c>
      <c r="F6" s="84">
        <f t="shared" ref="F6:F16" si="0">C6+D6-E6</f>
        <v>14201211.909999998</v>
      </c>
      <c r="G6" s="83"/>
      <c r="H6" s="83"/>
    </row>
    <row r="7" spans="1:8" x14ac:dyDescent="0.25">
      <c r="A7" s="83"/>
      <c r="B7" s="83" t="s">
        <v>137</v>
      </c>
      <c r="C7" s="84">
        <f t="shared" ref="C7:C16" si="1">F6</f>
        <v>14201211.909999998</v>
      </c>
      <c r="D7" s="96">
        <v>6361.35</v>
      </c>
      <c r="E7" s="97">
        <v>66662.02</v>
      </c>
      <c r="F7" s="84">
        <f t="shared" si="0"/>
        <v>14140911.239999998</v>
      </c>
      <c r="G7" s="83"/>
      <c r="H7" s="83"/>
    </row>
    <row r="8" spans="1:8" x14ac:dyDescent="0.25">
      <c r="A8" s="83"/>
      <c r="B8" s="83" t="s">
        <v>136</v>
      </c>
      <c r="C8" s="84">
        <f t="shared" si="1"/>
        <v>14140911.239999998</v>
      </c>
      <c r="D8" s="81"/>
      <c r="E8" s="97">
        <v>111740.56</v>
      </c>
      <c r="F8" s="84">
        <f t="shared" si="0"/>
        <v>14029170.679999998</v>
      </c>
      <c r="G8" s="83"/>
      <c r="H8" s="83"/>
    </row>
    <row r="9" spans="1:8" x14ac:dyDescent="0.25">
      <c r="A9" s="83"/>
      <c r="B9" s="83" t="s">
        <v>135</v>
      </c>
      <c r="C9" s="84">
        <f t="shared" si="1"/>
        <v>14029170.679999998</v>
      </c>
      <c r="D9" s="81"/>
      <c r="E9" s="97">
        <v>86442.03</v>
      </c>
      <c r="F9" s="84">
        <f t="shared" si="0"/>
        <v>13942728.649999999</v>
      </c>
      <c r="G9" s="83"/>
      <c r="H9" s="83"/>
    </row>
    <row r="10" spans="1:8" x14ac:dyDescent="0.25">
      <c r="A10" s="83"/>
      <c r="B10" s="83" t="s">
        <v>134</v>
      </c>
      <c r="C10" s="84">
        <f t="shared" si="1"/>
        <v>13942728.649999999</v>
      </c>
      <c r="D10" s="81"/>
      <c r="E10" s="97">
        <v>110284.57</v>
      </c>
      <c r="F10" s="84">
        <f t="shared" si="0"/>
        <v>13832444.079999998</v>
      </c>
      <c r="G10" s="83"/>
      <c r="H10" s="83"/>
    </row>
    <row r="11" spans="1:8" x14ac:dyDescent="0.25">
      <c r="A11" s="83"/>
      <c r="B11" s="83" t="s">
        <v>133</v>
      </c>
      <c r="C11" s="84">
        <f t="shared" si="1"/>
        <v>13832444.079999998</v>
      </c>
      <c r="D11" s="81"/>
      <c r="E11" s="97">
        <v>112876.03</v>
      </c>
      <c r="F11" s="84">
        <f t="shared" si="0"/>
        <v>13719568.049999999</v>
      </c>
      <c r="G11" s="83"/>
      <c r="H11" s="83"/>
    </row>
    <row r="12" spans="1:8" x14ac:dyDescent="0.25">
      <c r="A12" s="83"/>
      <c r="B12" s="83" t="s">
        <v>132</v>
      </c>
      <c r="C12" s="84">
        <f t="shared" si="1"/>
        <v>13719568.049999999</v>
      </c>
      <c r="D12" s="81"/>
      <c r="E12" s="97">
        <v>106619.4</v>
      </c>
      <c r="F12" s="84">
        <f t="shared" si="0"/>
        <v>13612948.649999999</v>
      </c>
      <c r="G12" s="83"/>
      <c r="H12" s="83"/>
    </row>
    <row r="13" spans="1:8" x14ac:dyDescent="0.25">
      <c r="A13" s="83"/>
      <c r="B13" s="83" t="s">
        <v>131</v>
      </c>
      <c r="C13" s="84">
        <f t="shared" si="1"/>
        <v>13612948.649999999</v>
      </c>
      <c r="D13" s="81">
        <v>0</v>
      </c>
      <c r="E13" s="97">
        <v>99737.5</v>
      </c>
      <c r="F13" s="84">
        <f t="shared" si="0"/>
        <v>13513211.149999999</v>
      </c>
      <c r="G13" s="83"/>
      <c r="H13" s="83"/>
    </row>
    <row r="14" spans="1:8" x14ac:dyDescent="0.25">
      <c r="A14" s="83"/>
      <c r="B14" s="83" t="s">
        <v>130</v>
      </c>
      <c r="C14" s="84">
        <f t="shared" si="1"/>
        <v>13513211.149999999</v>
      </c>
      <c r="D14" s="81">
        <v>0</v>
      </c>
      <c r="E14" s="97">
        <v>101038.37</v>
      </c>
      <c r="F14" s="84">
        <f t="shared" si="0"/>
        <v>13412172.779999999</v>
      </c>
      <c r="G14" s="83"/>
      <c r="H14" s="83"/>
    </row>
    <row r="15" spans="1:8" x14ac:dyDescent="0.25">
      <c r="A15" s="83"/>
      <c r="B15" s="83" t="s">
        <v>129</v>
      </c>
      <c r="C15" s="84">
        <f t="shared" si="1"/>
        <v>13412172.779999999</v>
      </c>
      <c r="D15" s="81">
        <v>0</v>
      </c>
      <c r="E15" s="97">
        <v>112237.46</v>
      </c>
      <c r="F15" s="84">
        <f t="shared" si="0"/>
        <v>13299935.319999998</v>
      </c>
      <c r="G15" s="83"/>
      <c r="H15" s="83"/>
    </row>
    <row r="16" spans="1:8" x14ac:dyDescent="0.25">
      <c r="A16" s="83"/>
      <c r="B16" s="83" t="s">
        <v>128</v>
      </c>
      <c r="C16" s="84">
        <f t="shared" si="1"/>
        <v>13299935.319999998</v>
      </c>
      <c r="D16" s="81">
        <v>0</v>
      </c>
      <c r="E16" s="97">
        <v>106319.53</v>
      </c>
      <c r="F16" s="84">
        <f t="shared" si="0"/>
        <v>13193615.789999999</v>
      </c>
      <c r="G16" s="83"/>
      <c r="H16" s="83"/>
    </row>
    <row r="17" spans="1:8" x14ac:dyDescent="0.25">
      <c r="A17" s="83"/>
      <c r="B17" s="83"/>
      <c r="C17" s="83"/>
      <c r="D17" s="83"/>
      <c r="E17" s="83"/>
      <c r="F17" s="83"/>
      <c r="G17" s="83"/>
      <c r="H17" s="83"/>
    </row>
    <row r="18" spans="1:8" x14ac:dyDescent="0.25">
      <c r="A18" s="83"/>
      <c r="B18" s="83"/>
      <c r="C18" s="83"/>
      <c r="D18" s="83"/>
      <c r="E18" s="83"/>
      <c r="F18" s="83"/>
      <c r="G18" s="83"/>
      <c r="H18" s="83"/>
    </row>
    <row r="19" spans="1:8" x14ac:dyDescent="0.25">
      <c r="A19" s="83"/>
      <c r="B19" s="83"/>
      <c r="C19" s="83"/>
      <c r="D19" s="83"/>
      <c r="E19" s="83"/>
      <c r="F19" s="83"/>
      <c r="G19" s="83"/>
      <c r="H19" s="83"/>
    </row>
    <row r="20" spans="1:8" x14ac:dyDescent="0.25">
      <c r="A20" s="83"/>
      <c r="B20" s="83"/>
      <c r="C20" s="83"/>
      <c r="D20" s="83"/>
      <c r="E20" s="83"/>
      <c r="F20" s="83"/>
      <c r="G20" s="83"/>
      <c r="H20" s="8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189956344C7F6479ACCEB763B336AB6" ma:contentTypeVersion="28" ma:contentTypeDescription="" ma:contentTypeScope="" ma:versionID="66b773789f490274a131941ca2d4e3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2022-04-29T07:00:00+00:00</OpenedDate>
    <SignificantOrder xmlns="dc463f71-b30c-4ab2-9473-d307f9d35888">false</SignificantOrder>
    <Date1 xmlns="dc463f71-b30c-4ab2-9473-d307f9d35888">2022-04-29T07:00:00+00:00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220308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4A555E-BD4A-4CCD-A9D0-18AF8B3DDC24}"/>
</file>

<file path=customXml/itemProps2.xml><?xml version="1.0" encoding="utf-8"?>
<ds:datastoreItem xmlns:ds="http://schemas.openxmlformats.org/officeDocument/2006/customXml" ds:itemID="{FCB07BE2-BB86-4E26-93FC-E111FE077C20}"/>
</file>

<file path=customXml/itemProps3.xml><?xml version="1.0" encoding="utf-8"?>
<ds:datastoreItem xmlns:ds="http://schemas.openxmlformats.org/officeDocument/2006/customXml" ds:itemID="{5E53C96A-C708-41FD-A03A-4EF813DEF44F}"/>
</file>

<file path=customXml/itemProps4.xml><?xml version="1.0" encoding="utf-8"?>
<ds:datastoreItem xmlns:ds="http://schemas.openxmlformats.org/officeDocument/2006/customXml" ds:itemID="{B644A597-46B8-41E6-85C3-FE66B4A9B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</vt:lpstr>
      <vt:lpstr>play</vt:lpstr>
      <vt:lpstr>Reporting- SEF 31</vt:lpstr>
      <vt:lpstr>REDACTED</vt:lpstr>
      <vt:lpstr>Exh. SEF-4 p 1 PPA Costs (R)</vt:lpstr>
      <vt:lpstr>Exh. SEF-4 p 2 Fixed Costs</vt:lpstr>
      <vt:lpstr>Exh. SEF-4 p 3 Liq Damages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NC</cp:lastModifiedBy>
  <cp:lastPrinted>2022-01-05T21:20:49Z</cp:lastPrinted>
  <dcterms:created xsi:type="dcterms:W3CDTF">2020-08-12T17:38:12Z</dcterms:created>
  <dcterms:modified xsi:type="dcterms:W3CDTF">2022-04-18T17:57:42Z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0x0101006E56B4D1795A2E4DB2F0B01679ED314A002189956344C7F6479ACCEB763B336AB6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