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0" windowWidth="27312" windowHeight="10572"/>
  </bookViews>
  <sheets>
    <sheet name="3.01E Lead Sheet " sheetId="36" r:id="rId1"/>
    <sheet name="Summary" sheetId="34" r:id="rId2"/>
    <sheet name="Sales &amp; Revenue Adj." sheetId="2" r:id="rId3"/>
    <sheet name="Temp Adj. by Schedule" sheetId="28" r:id="rId4"/>
    <sheet name="Normalized TotalUsage" sheetId="33" r:id="rId5"/>
    <sheet name="Actual Total Usage" sheetId="6" r:id="rId6"/>
    <sheet name="SAP BW Actual Usage" sheetId="16" r:id="rId7"/>
    <sheet name="System Model " sheetId="35" r:id="rId8"/>
    <sheet name="TABLE-HDD" sheetId="26" r:id="rId9"/>
  </sheets>
  <externalReferences>
    <externalReference r:id="rId10"/>
    <externalReference r:id="rId11"/>
  </externalReferences>
  <definedNames>
    <definedName name="__________________six6" localSheetId="0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0" hidden="1">#REF!</definedName>
    <definedName name="__123Graph_D" localSheetId="4" hidden="1">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4" hidden="1">[1]ConsolidatingPL!#REF!</definedName>
    <definedName name="__123Graph_ECURRENT" localSheetId="1" hidden="1">[1]ConsolidatingPL!#REF!</definedName>
    <definedName name="__123Graph_ECURRENT" localSheetId="7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7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4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1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4" hidden="1">#REF!</definedName>
    <definedName name="_Sort" localSheetId="1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localSheetId="7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4" hidden="1">#REF!</definedName>
    <definedName name="BEm" localSheetId="1" hidden="1">#REF!</definedName>
    <definedName name="BEm" localSheetId="3" hidden="1">#REF!</definedName>
    <definedName name="BEm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1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4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4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4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4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4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4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4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4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4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4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4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4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4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4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4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4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4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4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4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4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4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4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4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4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4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4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4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4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4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4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4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4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4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4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4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4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4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4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4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4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4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4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4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4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4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4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4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4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4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4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4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4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4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4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4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4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4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4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4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4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4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4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4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4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4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4" hidden="1">#REF!</definedName>
    <definedName name="BEx3LANPY1HT49TAH98H4B9RC1D4" localSheetId="1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4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4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4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4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4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4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1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4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4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4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4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4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4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4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4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4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4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4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4" hidden="1">#REF!</definedName>
    <definedName name="BEx3UNISOEXF3OFHT2BUA6P9RBIJ" localSheetId="1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4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4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4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4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4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4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4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4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4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4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4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4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4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4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4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4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4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4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4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4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4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4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4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4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4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4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4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4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4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4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4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4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4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4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4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4" hidden="1">#REF!</definedName>
    <definedName name="BEx5MMCJMU7FOOWUCW9EA13B7V5F" localSheetId="1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4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4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4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4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4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4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4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4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4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4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4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4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4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4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4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4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4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4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4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4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4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4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4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4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4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4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4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4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4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4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4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4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4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4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4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4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4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4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4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4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4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4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4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4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4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4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4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4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4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4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4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4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4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4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4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4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4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4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4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4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4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4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4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4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4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4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4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4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4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4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4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4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4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4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4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4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4" hidden="1">#REF!</definedName>
    <definedName name="BEx9EL27NGDBCTVPW97K42QANS5K" localSheetId="1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4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4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4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4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4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4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4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4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4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4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4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4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4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4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4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4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4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4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4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4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4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4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4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4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4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4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4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4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4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4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4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4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4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4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4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4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4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4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4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4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4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4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4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4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4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4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4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4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4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4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4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4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4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4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4" hidden="1">#REF!</definedName>
    <definedName name="BExBCKKJFFT2RP50WNPKBT7X8PJ3" localSheetId="1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4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4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4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4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4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4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4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4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4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4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4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4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4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4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4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4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4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4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4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4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4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4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4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4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4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4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4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4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4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4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4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4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4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4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4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4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4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4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4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4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4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4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4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4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4" hidden="1">#REF!</definedName>
    <definedName name="BExENU8ISP26W97JG63CN1XT9KB4" localSheetId="1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4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4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4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4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4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4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4" hidden="1">#REF!</definedName>
    <definedName name="BExERXE1QW042A2T25RI4DVUU59O" localSheetId="1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4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4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4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4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4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4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4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4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4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4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4" hidden="1">#REF!</definedName>
    <definedName name="BExEUOAHB0OT3BACAHNZ3B905C0P" localSheetId="1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4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4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4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4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4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4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4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4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4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4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4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4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4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4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4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4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4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4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4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4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4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4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4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4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4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4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4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4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4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4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4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4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4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4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4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4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4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4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4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4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4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4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4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4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4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4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4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4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4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4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4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4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4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4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4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4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4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4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4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4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4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4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4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4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4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4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4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4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4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4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4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4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4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4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4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4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4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4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4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4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4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4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4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4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4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4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4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4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4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4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4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4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4" hidden="1">#REF!</definedName>
    <definedName name="BExIPVL5VEVK9Q7AYB7EC2VZWBEZ" localSheetId="1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4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4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4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4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4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4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4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4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4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4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4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4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4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4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4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4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4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4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4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4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4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4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4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4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4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4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4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4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4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4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4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4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4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4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4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4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4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4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4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4" hidden="1">#REF!</definedName>
    <definedName name="BExKGQ3T3TWGZUSNVWJE1XWXHGRQ" localSheetId="1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4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4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4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4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4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4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4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4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4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4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4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4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4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4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4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4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4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4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4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4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4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4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4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4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4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4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4" hidden="1">#REF!</definedName>
    <definedName name="BExKPIL5ZWOXQAENH3VP3ZHA2N7N" localSheetId="1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4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4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4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4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4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4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4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4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4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4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4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4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4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4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4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4" hidden="1">#REF!</definedName>
    <definedName name="BExMC7PESEESXVMDCGGIP5LPMUGY" localSheetId="1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4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4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4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4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4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4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4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4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4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4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4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4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4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4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4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4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4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4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4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4" hidden="1">#REF!</definedName>
    <definedName name="BExMKPEDT6IOYLLC3KJKRZOETC3Y" localSheetId="1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4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4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4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4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4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4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4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4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4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4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4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4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4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4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4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4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4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4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4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4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4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4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4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4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4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4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4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4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4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4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4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4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4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4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4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4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4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4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4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4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4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4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4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4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4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4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4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4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4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4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4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4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4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4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4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4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4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4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4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4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4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4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4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4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4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4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4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4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4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4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4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4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4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4" hidden="1">#REF!</definedName>
    <definedName name="BExQ9ZWQ19KSRZNZNPY6ZNWEST1J" localSheetId="1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4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4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4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4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4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4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4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4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4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4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4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4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4" hidden="1">#REF!</definedName>
    <definedName name="BExQG9A8OZ31BDN5QEGQGWG59A43" localSheetId="1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4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4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4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4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4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4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4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4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4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4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4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4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4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4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4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4" hidden="1">#REF!</definedName>
    <definedName name="BExQL4GJ3LZJL6JDEHT7UDXW90TV" localSheetId="1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4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4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4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4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4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4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4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4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4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4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4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4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4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4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4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4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4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4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4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4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4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4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4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4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4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4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4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4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4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4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4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4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4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4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4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4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4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4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4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4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4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4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4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4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4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4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4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4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4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1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4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4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4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4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4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4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4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4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4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4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4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4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4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4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4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4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4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4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4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4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4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4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4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4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4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4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4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4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4" hidden="1">#REF!</definedName>
    <definedName name="BExUAPR6Y32097JKJCTGC4C6EGE9" localSheetId="1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4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4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4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4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4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4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4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4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4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4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4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4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4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4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4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4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4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4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4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4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4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4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4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4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4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4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4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4" hidden="1">#REF!</definedName>
    <definedName name="BExW1VNZHNB5P9V6232N0DQCE0WE" localSheetId="1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4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4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4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4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4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4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4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4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4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4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4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4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4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4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4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4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4" hidden="1">#REF!</definedName>
    <definedName name="BExXO4QVV7YZ6L5A7WZEMIA5AZOV" localSheetId="1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4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4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4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4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4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4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4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4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4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4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4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4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4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4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4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4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4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4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4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4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4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4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4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4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4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4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4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4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4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4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4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4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4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4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4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4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4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4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4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4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4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4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4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4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4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4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4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4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4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4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4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4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4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4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4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4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4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4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4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4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4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4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4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4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4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4" hidden="1">#REF!</definedName>
    <definedName name="BExZSYRA4NR7K6RLC3I81QSG5SQR" localSheetId="1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4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4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4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4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4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4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4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4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4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4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4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4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4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4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4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hidden="1">#REF!</definedName>
    <definedName name="Bum" localSheetId="0" hidden="1">#REF!</definedName>
    <definedName name="Bum" localSheetId="4" hidden="1">#REF!</definedName>
    <definedName name="Bum" localSheetId="1" hidden="1">#REF!</definedName>
    <definedName name="Bum" localSheetId="3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4" hidden="1">#REF!</definedName>
    <definedName name="F" localSheetId="1" hidden="1">#REF!</definedName>
    <definedName name="F" localSheetId="3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4" hidden="1">#REF!</definedName>
    <definedName name="Transfer" localSheetId="1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4" hidden="1">#REF!</definedName>
    <definedName name="Transfers" localSheetId="1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7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E34" i="36" l="1"/>
  <c r="E33" i="36"/>
  <c r="E31" i="36"/>
  <c r="E30" i="36"/>
  <c r="E29" i="36"/>
  <c r="E28" i="36"/>
  <c r="E27" i="36"/>
  <c r="E26" i="36"/>
  <c r="E41" i="36" l="1"/>
  <c r="E38" i="36"/>
  <c r="E37" i="36"/>
  <c r="A12" i="36" l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11" i="36"/>
  <c r="J38" i="2" l="1"/>
  <c r="K38" i="2" s="1"/>
  <c r="L38" i="2" s="1"/>
  <c r="M38" i="2" s="1"/>
  <c r="N38" i="2" s="1"/>
  <c r="J35" i="2"/>
  <c r="K35" i="2" s="1"/>
  <c r="L35" i="2" s="1"/>
  <c r="M35" i="2" s="1"/>
  <c r="N35" i="2" s="1"/>
  <c r="E34" i="2"/>
  <c r="F34" i="2" s="1"/>
  <c r="G34" i="2" s="1"/>
  <c r="H34" i="2" s="1"/>
  <c r="E39" i="2"/>
  <c r="F39" i="2" s="1"/>
  <c r="G39" i="2" s="1"/>
  <c r="H39" i="2" s="1"/>
  <c r="E40" i="2"/>
  <c r="F40" i="2" s="1"/>
  <c r="G40" i="2" s="1"/>
  <c r="H40" i="2" s="1"/>
  <c r="D33" i="2"/>
  <c r="E33" i="2" s="1"/>
  <c r="F33" i="2" s="1"/>
  <c r="G33" i="2" s="1"/>
  <c r="H33" i="2" s="1"/>
  <c r="D40" i="2"/>
  <c r="D39" i="2"/>
  <c r="D38" i="2"/>
  <c r="E38" i="2" s="1"/>
  <c r="F38" i="2" s="1"/>
  <c r="G38" i="2" s="1"/>
  <c r="H38" i="2" s="1"/>
  <c r="D35" i="2"/>
  <c r="E35" i="2" s="1"/>
  <c r="F35" i="2" s="1"/>
  <c r="G35" i="2" s="1"/>
  <c r="H35" i="2" s="1"/>
  <c r="D34" i="2"/>
  <c r="J40" i="2"/>
  <c r="K40" i="2" s="1"/>
  <c r="L40" i="2" s="1"/>
  <c r="M40" i="2" s="1"/>
  <c r="N40" i="2" s="1"/>
  <c r="J39" i="2"/>
  <c r="K39" i="2" s="1"/>
  <c r="L39" i="2" s="1"/>
  <c r="M39" i="2" s="1"/>
  <c r="N39" i="2" s="1"/>
  <c r="J36" i="2"/>
  <c r="K36" i="2" s="1"/>
  <c r="L36" i="2" s="1"/>
  <c r="M36" i="2" s="1"/>
  <c r="N36" i="2" s="1"/>
  <c r="D36" i="2"/>
  <c r="E36" i="2" s="1"/>
  <c r="F36" i="2" s="1"/>
  <c r="G36" i="2" s="1"/>
  <c r="H36" i="2" s="1"/>
  <c r="J34" i="2"/>
  <c r="K34" i="2" s="1"/>
  <c r="L34" i="2" s="1"/>
  <c r="M34" i="2" s="1"/>
  <c r="N34" i="2" s="1"/>
  <c r="J33" i="2"/>
  <c r="K33" i="2" s="1"/>
  <c r="L33" i="2" s="1"/>
  <c r="M33" i="2" s="1"/>
  <c r="N33" i="2" s="1"/>
  <c r="M15" i="35" l="1"/>
  <c r="M14" i="35"/>
  <c r="M13" i="35"/>
  <c r="K14" i="35"/>
  <c r="K15" i="35"/>
  <c r="M24" i="16" l="1"/>
  <c r="K13" i="35" l="1"/>
  <c r="M12" i="35" l="1"/>
  <c r="K10" i="35" l="1"/>
  <c r="K11" i="35" l="1"/>
  <c r="K12" i="35"/>
  <c r="M11" i="35"/>
  <c r="M10" i="35"/>
  <c r="M9" i="35"/>
  <c r="K9" i="35" l="1"/>
  <c r="K8" i="35"/>
  <c r="K7" i="35" l="1"/>
  <c r="M8" i="35" l="1"/>
  <c r="M7" i="35" l="1"/>
  <c r="M6" i="35"/>
  <c r="K6" i="35" l="1"/>
  <c r="M5" i="35" l="1"/>
  <c r="O8" i="16" l="1"/>
  <c r="E24" i="16"/>
  <c r="Q19" i="26" l="1"/>
  <c r="Q18" i="26"/>
  <c r="Q17" i="26"/>
  <c r="Q16" i="26"/>
  <c r="Q15" i="26"/>
  <c r="Q14" i="26"/>
  <c r="Q13" i="26"/>
  <c r="Q12" i="26"/>
  <c r="Q11" i="26"/>
  <c r="Q10" i="26"/>
  <c r="Q9" i="26"/>
  <c r="Q8" i="26"/>
  <c r="A33" i="34" l="1"/>
  <c r="M4" i="35" l="1"/>
  <c r="K5" i="35" l="1"/>
  <c r="K4" i="35"/>
  <c r="D50" i="16" l="1"/>
  <c r="D24" i="16" l="1"/>
  <c r="B33" i="35" l="1"/>
  <c r="B32" i="35"/>
  <c r="B31" i="35"/>
  <c r="B30" i="35"/>
  <c r="B29" i="35"/>
  <c r="B28" i="35"/>
  <c r="B27" i="35"/>
  <c r="B26" i="35"/>
  <c r="B25" i="35"/>
  <c r="B24" i="35"/>
  <c r="B23" i="35"/>
  <c r="B22" i="35"/>
  <c r="A22" i="35"/>
  <c r="L15" i="35"/>
  <c r="N15" i="35" s="1"/>
  <c r="O15" i="35" s="1"/>
  <c r="L14" i="35"/>
  <c r="N14" i="35" s="1"/>
  <c r="O14" i="35" s="1"/>
  <c r="L13" i="35"/>
  <c r="N13" i="35" s="1"/>
  <c r="O13" i="35" s="1"/>
  <c r="L12" i="35"/>
  <c r="N12" i="35" s="1"/>
  <c r="O12" i="35" s="1"/>
  <c r="L11" i="35"/>
  <c r="N11" i="35" s="1"/>
  <c r="O11" i="35" s="1"/>
  <c r="L10" i="35"/>
  <c r="N10" i="35" s="1"/>
  <c r="O10" i="35" s="1"/>
  <c r="L9" i="35"/>
  <c r="N9" i="35" s="1"/>
  <c r="O9" i="35" s="1"/>
  <c r="L8" i="35"/>
  <c r="N8" i="35" s="1"/>
  <c r="O8" i="35" s="1"/>
  <c r="L7" i="35"/>
  <c r="N7" i="35" s="1"/>
  <c r="O7" i="35" s="1"/>
  <c r="L6" i="35"/>
  <c r="N6" i="35" s="1"/>
  <c r="O6" i="35" s="1"/>
  <c r="L5" i="35"/>
  <c r="N5" i="35" s="1"/>
  <c r="O5" i="35" s="1"/>
  <c r="A5" i="35"/>
  <c r="A6" i="35" s="1"/>
  <c r="K16" i="35"/>
  <c r="A7" i="35" l="1"/>
  <c r="A24" i="35"/>
  <c r="A23" i="35"/>
  <c r="L4" i="35"/>
  <c r="N4" i="35" s="1"/>
  <c r="O4" i="35" l="1"/>
  <c r="N16" i="35"/>
  <c r="N17" i="35" s="1"/>
  <c r="A25" i="35"/>
  <c r="A8" i="35"/>
  <c r="A9" i="35" l="1"/>
  <c r="A26" i="35"/>
  <c r="A10" i="35" l="1"/>
  <c r="A27" i="35"/>
  <c r="A11" i="35" l="1"/>
  <c r="A28" i="35"/>
  <c r="A29" i="35" l="1"/>
  <c r="A12" i="35"/>
  <c r="A13" i="35" l="1"/>
  <c r="A30" i="35"/>
  <c r="A14" i="35" l="1"/>
  <c r="A31" i="35"/>
  <c r="A15" i="35" l="1"/>
  <c r="A33" i="35" s="1"/>
  <c r="A32" i="35"/>
  <c r="M7" i="28" l="1"/>
  <c r="L7" i="28"/>
  <c r="K7" i="28"/>
  <c r="J7" i="28"/>
  <c r="I7" i="28"/>
  <c r="H7" i="28"/>
  <c r="G7" i="28"/>
  <c r="F7" i="28"/>
  <c r="E7" i="28"/>
  <c r="D7" i="28"/>
  <c r="C7" i="28"/>
  <c r="B7" i="28"/>
  <c r="N25" i="2" l="1"/>
  <c r="M25" i="2"/>
  <c r="L25" i="2"/>
  <c r="K25" i="2"/>
  <c r="J25" i="2"/>
  <c r="I25" i="2"/>
  <c r="H25" i="2"/>
  <c r="G25" i="2"/>
  <c r="F25" i="2"/>
  <c r="E25" i="2"/>
  <c r="D25" i="2"/>
  <c r="C25" i="2"/>
  <c r="J24" i="16" l="1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4" i="34" s="1"/>
  <c r="M7" i="33"/>
  <c r="M35" i="33" s="1"/>
  <c r="L7" i="33"/>
  <c r="L35" i="33" s="1"/>
  <c r="K7" i="33"/>
  <c r="K35" i="33" s="1"/>
  <c r="J7" i="33"/>
  <c r="J35" i="33" s="1"/>
  <c r="I7" i="33"/>
  <c r="I35" i="33" s="1"/>
  <c r="H7" i="33"/>
  <c r="H35" i="33" s="1"/>
  <c r="G7" i="33"/>
  <c r="G35" i="33" s="1"/>
  <c r="F7" i="33"/>
  <c r="F35" i="33" s="1"/>
  <c r="E7" i="33"/>
  <c r="E35" i="33" s="1"/>
  <c r="D7" i="33"/>
  <c r="D35" i="33" s="1"/>
  <c r="C7" i="33"/>
  <c r="C35" i="33" s="1"/>
  <c r="B7" i="33"/>
  <c r="B35" i="33" s="1"/>
  <c r="I46" i="28" l="1"/>
  <c r="H46" i="28"/>
  <c r="G46" i="28"/>
  <c r="F46" i="28"/>
  <c r="E46" i="28"/>
  <c r="D46" i="28"/>
  <c r="C46" i="28"/>
  <c r="B46" i="28"/>
  <c r="M46" i="28"/>
  <c r="L46" i="28"/>
  <c r="K46" i="28"/>
  <c r="J46" i="28"/>
  <c r="M94" i="28"/>
  <c r="L94" i="28"/>
  <c r="K94" i="28"/>
  <c r="J94" i="28"/>
  <c r="I94" i="28"/>
  <c r="H94" i="28"/>
  <c r="G94" i="28"/>
  <c r="F94" i="28"/>
  <c r="E94" i="28"/>
  <c r="D94" i="28"/>
  <c r="C94" i="28"/>
  <c r="B94" i="28"/>
  <c r="M93" i="28"/>
  <c r="L93" i="28"/>
  <c r="K93" i="28"/>
  <c r="J93" i="28"/>
  <c r="I93" i="28"/>
  <c r="H93" i="28"/>
  <c r="G93" i="28"/>
  <c r="F93" i="28"/>
  <c r="E93" i="28"/>
  <c r="D93" i="28"/>
  <c r="C93" i="28"/>
  <c r="B93" i="28"/>
  <c r="M92" i="28"/>
  <c r="L92" i="28"/>
  <c r="K92" i="28"/>
  <c r="J92" i="28"/>
  <c r="I92" i="28"/>
  <c r="H92" i="28"/>
  <c r="G92" i="28"/>
  <c r="F92" i="28"/>
  <c r="E92" i="28"/>
  <c r="D92" i="28"/>
  <c r="C92" i="28"/>
  <c r="B92" i="28"/>
  <c r="M91" i="28"/>
  <c r="L91" i="28"/>
  <c r="K91" i="28"/>
  <c r="J91" i="28"/>
  <c r="I91" i="28"/>
  <c r="H91" i="28"/>
  <c r="G91" i="28"/>
  <c r="F91" i="28"/>
  <c r="E91" i="28"/>
  <c r="D91" i="28"/>
  <c r="C91" i="28"/>
  <c r="B91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T75" i="28"/>
  <c r="Q75" i="28"/>
  <c r="P75" i="28"/>
  <c r="O75" i="28"/>
  <c r="N75" i="28"/>
  <c r="M75" i="28"/>
  <c r="L75" i="28"/>
  <c r="K75" i="28"/>
  <c r="J75" i="28"/>
  <c r="I75" i="28"/>
  <c r="T71" i="28"/>
  <c r="Q71" i="28"/>
  <c r="P71" i="28"/>
  <c r="O71" i="28"/>
  <c r="N71" i="28"/>
  <c r="M71" i="28"/>
  <c r="L71" i="28"/>
  <c r="K71" i="28"/>
  <c r="J71" i="28"/>
  <c r="I71" i="28"/>
  <c r="Q67" i="28"/>
  <c r="O67" i="28"/>
  <c r="N67" i="28"/>
  <c r="M67" i="28"/>
  <c r="L67" i="28"/>
  <c r="K67" i="28"/>
  <c r="J67" i="28"/>
  <c r="I67" i="28"/>
  <c r="P63" i="28"/>
  <c r="O63" i="28"/>
  <c r="N63" i="28"/>
  <c r="M63" i="28"/>
  <c r="L63" i="28"/>
  <c r="K63" i="28"/>
  <c r="J63" i="28"/>
  <c r="I63" i="28"/>
  <c r="T59" i="28"/>
  <c r="S59" i="28"/>
  <c r="R59" i="28"/>
  <c r="O59" i="28"/>
  <c r="N59" i="28"/>
  <c r="M59" i="28"/>
  <c r="L59" i="28"/>
  <c r="E29" i="28" s="1"/>
  <c r="K59" i="28"/>
  <c r="D15" i="28" s="1"/>
  <c r="D40" i="28" s="1"/>
  <c r="J59" i="28"/>
  <c r="I59" i="28"/>
  <c r="C19" i="28"/>
  <c r="C42" i="28" s="1"/>
  <c r="C16" i="28" l="1"/>
  <c r="C41" i="28" s="1"/>
  <c r="I29" i="28"/>
  <c r="I48" i="28" s="1"/>
  <c r="G11" i="28"/>
  <c r="G38" i="28" s="1"/>
  <c r="D11" i="28"/>
  <c r="D38" i="28" s="1"/>
  <c r="C15" i="28"/>
  <c r="E19" i="28"/>
  <c r="E42" i="28" s="1"/>
  <c r="E24" i="28"/>
  <c r="E45" i="28" s="1"/>
  <c r="E48" i="28"/>
  <c r="F28" i="2"/>
  <c r="T63" i="28"/>
  <c r="T67" i="28"/>
  <c r="R63" i="28"/>
  <c r="K11" i="28" s="1"/>
  <c r="K38" i="28" s="1"/>
  <c r="S63" i="28"/>
  <c r="S75" i="28"/>
  <c r="R75" i="28"/>
  <c r="R67" i="28"/>
  <c r="S67" i="28"/>
  <c r="R71" i="28"/>
  <c r="S71" i="28"/>
  <c r="Q63" i="28"/>
  <c r="Q59" i="28"/>
  <c r="P67" i="28"/>
  <c r="I28" i="28"/>
  <c r="P59" i="28"/>
  <c r="F8" i="28"/>
  <c r="F16" i="28"/>
  <c r="F41" i="28" s="1"/>
  <c r="F12" i="28"/>
  <c r="F39" i="28" s="1"/>
  <c r="F20" i="28"/>
  <c r="F43" i="28" s="1"/>
  <c r="G8" i="28"/>
  <c r="G15" i="28"/>
  <c r="G12" i="28"/>
  <c r="G39" i="28" s="1"/>
  <c r="G29" i="28"/>
  <c r="C8" i="28"/>
  <c r="C11" i="28"/>
  <c r="G16" i="28"/>
  <c r="G41" i="28" s="1"/>
  <c r="G19" i="28"/>
  <c r="G42" i="28" s="1"/>
  <c r="G23" i="28"/>
  <c r="G44" i="28" s="1"/>
  <c r="I24" i="28"/>
  <c r="I45" i="28" s="1"/>
  <c r="C28" i="28"/>
  <c r="C12" i="28"/>
  <c r="C39" i="28" s="1"/>
  <c r="I19" i="28"/>
  <c r="I42" i="28" s="1"/>
  <c r="G28" i="28"/>
  <c r="E23" i="28"/>
  <c r="E44" i="28" s="1"/>
  <c r="B24" i="28"/>
  <c r="B45" i="28" s="1"/>
  <c r="B19" i="28"/>
  <c r="B42" i="28" s="1"/>
  <c r="B15" i="28"/>
  <c r="B40" i="28" s="1"/>
  <c r="B11" i="28"/>
  <c r="B38" i="28" s="1"/>
  <c r="B23" i="28"/>
  <c r="B44" i="28" s="1"/>
  <c r="B12" i="28"/>
  <c r="B39" i="28" s="1"/>
  <c r="B16" i="28"/>
  <c r="B41" i="28" s="1"/>
  <c r="B8" i="28"/>
  <c r="B37" i="28" s="1"/>
  <c r="B28" i="28"/>
  <c r="B20" i="28"/>
  <c r="B43" i="28" s="1"/>
  <c r="J29" i="28"/>
  <c r="J23" i="28"/>
  <c r="J44" i="28" s="1"/>
  <c r="J20" i="28"/>
  <c r="J43" i="28" s="1"/>
  <c r="J15" i="28"/>
  <c r="J11" i="28"/>
  <c r="J38" i="28" s="1"/>
  <c r="J28" i="28"/>
  <c r="H28" i="28"/>
  <c r="H23" i="28"/>
  <c r="H44" i="28" s="1"/>
  <c r="H19" i="28"/>
  <c r="H42" i="28" s="1"/>
  <c r="H29" i="28"/>
  <c r="H24" i="28"/>
  <c r="H45" i="28" s="1"/>
  <c r="H16" i="28"/>
  <c r="H41" i="28" s="1"/>
  <c r="H12" i="28"/>
  <c r="H39" i="28" s="1"/>
  <c r="H8" i="28"/>
  <c r="D28" i="28"/>
  <c r="D23" i="28"/>
  <c r="D44" i="28" s="1"/>
  <c r="D19" i="28"/>
  <c r="D42" i="28" s="1"/>
  <c r="D20" i="28"/>
  <c r="D43" i="28" s="1"/>
  <c r="D16" i="28"/>
  <c r="D41" i="28" s="1"/>
  <c r="D12" i="28"/>
  <c r="D8" i="28"/>
  <c r="F28" i="28"/>
  <c r="F15" i="28"/>
  <c r="F11" i="28"/>
  <c r="F24" i="28"/>
  <c r="F45" i="28" s="1"/>
  <c r="F19" i="28"/>
  <c r="J12" i="28"/>
  <c r="J39" i="28" s="1"/>
  <c r="H20" i="28"/>
  <c r="H43" i="28" s="1"/>
  <c r="J24" i="28"/>
  <c r="J45" i="28" s="1"/>
  <c r="D29" i="28"/>
  <c r="C29" i="28"/>
  <c r="C23" i="28"/>
  <c r="C44" i="28" s="1"/>
  <c r="J8" i="28"/>
  <c r="J16" i="28"/>
  <c r="J41" i="28" s="1"/>
  <c r="J19" i="28"/>
  <c r="H11" i="28"/>
  <c r="H15" i="28"/>
  <c r="F23" i="28"/>
  <c r="D24" i="28"/>
  <c r="D45" i="28" s="1"/>
  <c r="E11" i="28"/>
  <c r="E38" i="28" s="1"/>
  <c r="I11" i="28"/>
  <c r="E15" i="28"/>
  <c r="E40" i="28" s="1"/>
  <c r="I15" i="28"/>
  <c r="I40" i="28" s="1"/>
  <c r="I20" i="28"/>
  <c r="I43" i="28" s="1"/>
  <c r="I23" i="28"/>
  <c r="E28" i="28"/>
  <c r="B29" i="28"/>
  <c r="F29" i="28"/>
  <c r="E8" i="28"/>
  <c r="I8" i="28"/>
  <c r="E12" i="28"/>
  <c r="E39" i="28" s="1"/>
  <c r="I12" i="28"/>
  <c r="I39" i="28" s="1"/>
  <c r="E16" i="28"/>
  <c r="E41" i="28" s="1"/>
  <c r="I16" i="28"/>
  <c r="I41" i="28" s="1"/>
  <c r="E20" i="28"/>
  <c r="C24" i="28"/>
  <c r="C45" i="28" s="1"/>
  <c r="C20" i="28"/>
  <c r="G24" i="28"/>
  <c r="G20" i="28"/>
  <c r="J28" i="2" l="1"/>
  <c r="L8" i="28"/>
  <c r="K8" i="28"/>
  <c r="K9" i="28" s="1"/>
  <c r="L21" i="2" s="1"/>
  <c r="M23" i="28"/>
  <c r="M44" i="28" s="1"/>
  <c r="C17" i="28"/>
  <c r="D23" i="2" s="1"/>
  <c r="K15" i="28"/>
  <c r="K40" i="28" s="1"/>
  <c r="C40" i="28"/>
  <c r="L15" i="28"/>
  <c r="L40" i="28" s="1"/>
  <c r="K19" i="28"/>
  <c r="K42" i="28" s="1"/>
  <c r="L29" i="28"/>
  <c r="M28" i="2" s="1"/>
  <c r="K37" i="28"/>
  <c r="H47" i="28"/>
  <c r="I27" i="2"/>
  <c r="J48" i="28"/>
  <c r="K28" i="2"/>
  <c r="G47" i="28"/>
  <c r="H27" i="2"/>
  <c r="G48" i="28"/>
  <c r="H28" i="2"/>
  <c r="H48" i="28"/>
  <c r="I28" i="2"/>
  <c r="J47" i="28"/>
  <c r="K27" i="2"/>
  <c r="I47" i="28"/>
  <c r="J27" i="2"/>
  <c r="M20" i="28"/>
  <c r="M43" i="28" s="1"/>
  <c r="M16" i="28"/>
  <c r="M41" i="28" s="1"/>
  <c r="D17" i="28"/>
  <c r="E23" i="2" s="1"/>
  <c r="L11" i="28"/>
  <c r="L38" i="28" s="1"/>
  <c r="M19" i="28"/>
  <c r="M21" i="28" s="1"/>
  <c r="N24" i="2" s="1"/>
  <c r="M12" i="28"/>
  <c r="M39" i="28" s="1"/>
  <c r="M11" i="28"/>
  <c r="M38" i="28" s="1"/>
  <c r="K23" i="28"/>
  <c r="K44" i="28" s="1"/>
  <c r="L12" i="28"/>
  <c r="L39" i="28" s="1"/>
  <c r="L19" i="28"/>
  <c r="L42" i="28" s="1"/>
  <c r="K20" i="28"/>
  <c r="K43" i="28" s="1"/>
  <c r="M24" i="28"/>
  <c r="M15" i="28"/>
  <c r="K28" i="28"/>
  <c r="K47" i="28" s="1"/>
  <c r="L16" i="28"/>
  <c r="L23" i="28"/>
  <c r="M29" i="28"/>
  <c r="M48" i="28" s="1"/>
  <c r="K16" i="28"/>
  <c r="K41" i="28" s="1"/>
  <c r="K12" i="28"/>
  <c r="K39" i="28" s="1"/>
  <c r="M28" i="28"/>
  <c r="N27" i="2" s="1"/>
  <c r="K24" i="28"/>
  <c r="M8" i="28"/>
  <c r="M9" i="28" s="1"/>
  <c r="N21" i="2" s="1"/>
  <c r="L20" i="28"/>
  <c r="L43" i="28" s="1"/>
  <c r="L24" i="28"/>
  <c r="L45" i="28" s="1"/>
  <c r="L28" i="28"/>
  <c r="M27" i="2" s="1"/>
  <c r="K29" i="28"/>
  <c r="L28" i="2" s="1"/>
  <c r="F48" i="28"/>
  <c r="G28" i="2"/>
  <c r="F47" i="28"/>
  <c r="G27" i="2"/>
  <c r="D47" i="28"/>
  <c r="E27" i="2"/>
  <c r="B48" i="28"/>
  <c r="C28" i="2"/>
  <c r="C48" i="28"/>
  <c r="D28" i="2"/>
  <c r="C47" i="28"/>
  <c r="D27" i="2"/>
  <c r="E47" i="28"/>
  <c r="F27" i="2"/>
  <c r="D48" i="28"/>
  <c r="E28" i="2"/>
  <c r="B47" i="28"/>
  <c r="C27" i="2"/>
  <c r="H13" i="28"/>
  <c r="I22" i="2" s="1"/>
  <c r="H38" i="28"/>
  <c r="L9" i="28"/>
  <c r="M21" i="2" s="1"/>
  <c r="L37" i="28"/>
  <c r="J17" i="28"/>
  <c r="K23" i="2" s="1"/>
  <c r="J40" i="28"/>
  <c r="G17" i="28"/>
  <c r="H23" i="2" s="1"/>
  <c r="G40" i="28"/>
  <c r="G21" i="28"/>
  <c r="H24" i="2" s="1"/>
  <c r="G43" i="28"/>
  <c r="C21" i="28"/>
  <c r="D24" i="2" s="1"/>
  <c r="C43" i="28"/>
  <c r="I9" i="28"/>
  <c r="J21" i="2" s="1"/>
  <c r="I37" i="28"/>
  <c r="F25" i="28"/>
  <c r="G26" i="2" s="1"/>
  <c r="F44" i="28"/>
  <c r="J21" i="28"/>
  <c r="K24" i="2" s="1"/>
  <c r="J42" i="28"/>
  <c r="F13" i="28"/>
  <c r="G22" i="2" s="1"/>
  <c r="F38" i="28"/>
  <c r="D13" i="28"/>
  <c r="E22" i="2" s="1"/>
  <c r="D39" i="28"/>
  <c r="C13" i="28"/>
  <c r="D22" i="2" s="1"/>
  <c r="C38" i="28"/>
  <c r="G25" i="28"/>
  <c r="H26" i="2" s="1"/>
  <c r="G45" i="28"/>
  <c r="E9" i="28"/>
  <c r="F21" i="2" s="1"/>
  <c r="E37" i="28"/>
  <c r="I25" i="28"/>
  <c r="J26" i="2" s="1"/>
  <c r="I44" i="28"/>
  <c r="E25" i="28"/>
  <c r="F26" i="2" s="1"/>
  <c r="F17" i="28"/>
  <c r="G23" i="2" s="1"/>
  <c r="F40" i="28"/>
  <c r="C9" i="28"/>
  <c r="D21" i="2" s="1"/>
  <c r="C37" i="28"/>
  <c r="E21" i="28"/>
  <c r="F24" i="2" s="1"/>
  <c r="E43" i="28"/>
  <c r="I13" i="28"/>
  <c r="J22" i="2" s="1"/>
  <c r="I38" i="28"/>
  <c r="D9" i="28"/>
  <c r="E21" i="2" s="1"/>
  <c r="D37" i="28"/>
  <c r="H9" i="28"/>
  <c r="I21" i="2" s="1"/>
  <c r="H37" i="28"/>
  <c r="H17" i="28"/>
  <c r="I23" i="2" s="1"/>
  <c r="H40" i="28"/>
  <c r="J9" i="28"/>
  <c r="K21" i="2" s="1"/>
  <c r="J37" i="28"/>
  <c r="G13" i="28"/>
  <c r="F21" i="28"/>
  <c r="G24" i="2" s="1"/>
  <c r="F42" i="28"/>
  <c r="I21" i="28"/>
  <c r="J24" i="2" s="1"/>
  <c r="G9" i="28"/>
  <c r="H21" i="2" s="1"/>
  <c r="G37" i="28"/>
  <c r="F9" i="28"/>
  <c r="G21" i="2" s="1"/>
  <c r="F37" i="28"/>
  <c r="B9" i="28"/>
  <c r="C21" i="2" s="1"/>
  <c r="B13" i="28"/>
  <c r="C22" i="2" s="1"/>
  <c r="E17" i="28"/>
  <c r="F23" i="2" s="1"/>
  <c r="D21" i="28"/>
  <c r="E24" i="2" s="1"/>
  <c r="H21" i="28"/>
  <c r="I24" i="2" s="1"/>
  <c r="J25" i="28"/>
  <c r="K26" i="2" s="1"/>
  <c r="B21" i="28"/>
  <c r="C24" i="2" s="1"/>
  <c r="D25" i="28"/>
  <c r="E26" i="2" s="1"/>
  <c r="H25" i="28"/>
  <c r="J13" i="28"/>
  <c r="K22" i="2" s="1"/>
  <c r="B25" i="28"/>
  <c r="C26" i="2" s="1"/>
  <c r="C25" i="28"/>
  <c r="D26" i="2" s="1"/>
  <c r="N27" i="28"/>
  <c r="I17" i="28"/>
  <c r="J23" i="2" s="1"/>
  <c r="E13" i="28"/>
  <c r="B17" i="28"/>
  <c r="C23" i="2" s="1"/>
  <c r="M25" i="28" l="1"/>
  <c r="N26" i="2" s="1"/>
  <c r="N23" i="28"/>
  <c r="L48" i="28"/>
  <c r="N15" i="28"/>
  <c r="M40" i="28"/>
  <c r="L17" i="28"/>
  <c r="M23" i="2" s="1"/>
  <c r="M13" i="28"/>
  <c r="N22" i="2" s="1"/>
  <c r="N28" i="28"/>
  <c r="L47" i="28"/>
  <c r="L27" i="2"/>
  <c r="M47" i="28"/>
  <c r="N19" i="28"/>
  <c r="M42" i="28"/>
  <c r="M17" i="28"/>
  <c r="N23" i="2" s="1"/>
  <c r="K17" i="28"/>
  <c r="L23" i="2" s="1"/>
  <c r="K21" i="28"/>
  <c r="L24" i="2" s="1"/>
  <c r="N20" i="28"/>
  <c r="G31" i="28"/>
  <c r="H22" i="2"/>
  <c r="H31" i="28"/>
  <c r="I26" i="2"/>
  <c r="K48" i="28"/>
  <c r="K25" i="28"/>
  <c r="L26" i="2" s="1"/>
  <c r="N11" i="28"/>
  <c r="L44" i="28"/>
  <c r="M37" i="28"/>
  <c r="N12" i="28"/>
  <c r="L13" i="28"/>
  <c r="M22" i="2" s="1"/>
  <c r="N28" i="2"/>
  <c r="N24" i="28"/>
  <c r="N25" i="28" s="1"/>
  <c r="N29" i="28"/>
  <c r="N8" i="28"/>
  <c r="L25" i="28"/>
  <c r="M26" i="2" s="1"/>
  <c r="K13" i="28"/>
  <c r="L22" i="2" s="1"/>
  <c r="N16" i="28"/>
  <c r="M45" i="28"/>
  <c r="L41" i="28"/>
  <c r="K45" i="28"/>
  <c r="L21" i="28"/>
  <c r="M24" i="2" s="1"/>
  <c r="C31" i="28"/>
  <c r="E31" i="28"/>
  <c r="F22" i="2"/>
  <c r="I31" i="28"/>
  <c r="D31" i="28"/>
  <c r="J31" i="28"/>
  <c r="F31" i="28"/>
  <c r="N9" i="28"/>
  <c r="B31" i="28"/>
  <c r="N17" i="28" l="1"/>
  <c r="M31" i="28"/>
  <c r="L50" i="28"/>
  <c r="K50" i="28"/>
  <c r="K31" i="28"/>
  <c r="N13" i="28"/>
  <c r="N21" i="28"/>
  <c r="L31" i="28"/>
  <c r="M50" i="28"/>
  <c r="G50" i="28"/>
  <c r="G52" i="28" s="1"/>
  <c r="F50" i="28"/>
  <c r="F52" i="28" s="1"/>
  <c r="I50" i="28"/>
  <c r="I52" i="28" s="1"/>
  <c r="N46" i="28"/>
  <c r="E30" i="34" s="1"/>
  <c r="N44" i="28"/>
  <c r="H50" i="28"/>
  <c r="H52" i="28" s="1"/>
  <c r="J50" i="28"/>
  <c r="J52" i="28" s="1"/>
  <c r="D50" i="28"/>
  <c r="D52" i="28" s="1"/>
  <c r="L52" i="28" l="1"/>
  <c r="M52" i="28"/>
  <c r="K52" i="28"/>
  <c r="N31" i="28"/>
  <c r="O27" i="28" s="1"/>
  <c r="N40" i="28"/>
  <c r="N42" i="28"/>
  <c r="N41" i="28"/>
  <c r="N48" i="28"/>
  <c r="N43" i="28"/>
  <c r="C50" i="28"/>
  <c r="C52" i="28" s="1"/>
  <c r="N45" i="28"/>
  <c r="E31" i="34" s="1"/>
  <c r="E50" i="28"/>
  <c r="E52" i="28" s="1"/>
  <c r="N47" i="28"/>
  <c r="N38" i="28"/>
  <c r="N39" i="28"/>
  <c r="N21" i="26"/>
  <c r="E32" i="34" l="1"/>
  <c r="E33" i="34"/>
  <c r="O25" i="28"/>
  <c r="O21" i="28"/>
  <c r="O13" i="28"/>
  <c r="O29" i="28"/>
  <c r="O28" i="28"/>
  <c r="O9" i="28"/>
  <c r="O17" i="28"/>
  <c r="E29" i="34"/>
  <c r="E27" i="34"/>
  <c r="E28" i="34"/>
  <c r="N37" i="28"/>
  <c r="B50" i="28"/>
  <c r="B52" i="28" s="1"/>
  <c r="E26" i="34" l="1"/>
  <c r="E35" i="36"/>
  <c r="O31" i="28"/>
  <c r="E34" i="34"/>
  <c r="N50" i="28"/>
  <c r="N52" i="28" s="1"/>
  <c r="O44" i="28" l="1"/>
  <c r="O46" i="28"/>
  <c r="O45" i="28"/>
  <c r="O41" i="28"/>
  <c r="O42" i="28"/>
  <c r="O39" i="28"/>
  <c r="O47" i="28"/>
  <c r="O40" i="28"/>
  <c r="O48" i="28"/>
  <c r="O43" i="28"/>
  <c r="O38" i="28"/>
  <c r="O37" i="28"/>
  <c r="O50" i="28" l="1"/>
  <c r="O52" i="28" s="1"/>
  <c r="M38" i="6" l="1"/>
  <c r="M39" i="33" s="1"/>
  <c r="L38" i="6"/>
  <c r="K38" i="6"/>
  <c r="J38" i="6"/>
  <c r="J39" i="33" s="1"/>
  <c r="I38" i="6"/>
  <c r="I39" i="33" s="1"/>
  <c r="H38" i="6"/>
  <c r="G38" i="6"/>
  <c r="F38" i="6"/>
  <c r="E38" i="6"/>
  <c r="D38" i="6"/>
  <c r="D39" i="33" s="1"/>
  <c r="C38" i="6"/>
  <c r="B38" i="6"/>
  <c r="B39" i="33" s="1"/>
  <c r="L39" i="33" l="1"/>
  <c r="K39" i="33"/>
  <c r="H39" i="33"/>
  <c r="G39" i="33"/>
  <c r="F39" i="33"/>
  <c r="E39" i="33"/>
  <c r="C39" i="33"/>
  <c r="N38" i="6"/>
  <c r="N39" i="33" l="1"/>
  <c r="K24" i="16"/>
  <c r="M21" i="26" l="1"/>
  <c r="O21" i="16"/>
  <c r="C24" i="16"/>
  <c r="F24" i="16"/>
  <c r="G24" i="16"/>
  <c r="H24" i="16"/>
  <c r="L24" i="16" l="1"/>
  <c r="L21" i="26" l="1"/>
  <c r="E50" i="16" l="1"/>
  <c r="M27" i="6" l="1"/>
  <c r="M27" i="33" s="1"/>
  <c r="L27" i="6"/>
  <c r="L27" i="33" s="1"/>
  <c r="K27" i="6"/>
  <c r="K27" i="33" s="1"/>
  <c r="J27" i="6"/>
  <c r="J27" i="33" s="1"/>
  <c r="I27" i="6"/>
  <c r="H27" i="6"/>
  <c r="H27" i="33" s="1"/>
  <c r="G27" i="6"/>
  <c r="G27" i="33" s="1"/>
  <c r="F27" i="6"/>
  <c r="F27" i="33" s="1"/>
  <c r="E27" i="6"/>
  <c r="E27" i="33" s="1"/>
  <c r="D27" i="6"/>
  <c r="D27" i="33" s="1"/>
  <c r="C27" i="6"/>
  <c r="C27" i="33" s="1"/>
  <c r="B27" i="6"/>
  <c r="B27" i="33" s="1"/>
  <c r="J45" i="34" l="1" a="1"/>
  <c r="I27" i="33"/>
  <c r="J21" i="26"/>
  <c r="K45" i="34" l="1" a="1"/>
  <c r="N27" i="33"/>
  <c r="J56" i="34"/>
  <c r="J50" i="34"/>
  <c r="J46" i="34"/>
  <c r="J55" i="34"/>
  <c r="J51" i="34"/>
  <c r="J49" i="34"/>
  <c r="J47" i="34"/>
  <c r="J54" i="34"/>
  <c r="J48" i="34"/>
  <c r="J45" i="34"/>
  <c r="J52" i="34"/>
  <c r="J53" i="34"/>
  <c r="K45" i="34" l="1"/>
  <c r="K50" i="34"/>
  <c r="K55" i="34"/>
  <c r="K51" i="34"/>
  <c r="K48" i="34"/>
  <c r="K54" i="34"/>
  <c r="K46" i="34"/>
  <c r="K56" i="34"/>
  <c r="K47" i="34"/>
  <c r="K52" i="34"/>
  <c r="K53" i="34"/>
  <c r="K49" i="34"/>
  <c r="J57" i="34"/>
  <c r="N24" i="16"/>
  <c r="L46" i="34" l="1"/>
  <c r="L54" i="34"/>
  <c r="L50" i="34"/>
  <c r="L49" i="34"/>
  <c r="L56" i="34"/>
  <c r="L51" i="34"/>
  <c r="L53" i="34"/>
  <c r="L55" i="34"/>
  <c r="L52" i="34"/>
  <c r="L47" i="34"/>
  <c r="L48" i="34"/>
  <c r="K57" i="34"/>
  <c r="L45" i="34"/>
  <c r="L57" i="34" l="1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4" i="16" l="1"/>
  <c r="I21" i="26" l="1"/>
  <c r="O19" i="16" l="1"/>
  <c r="R21" i="26" l="1"/>
  <c r="J23" i="26" s="1"/>
  <c r="B23" i="26" l="1"/>
  <c r="F23" i="26"/>
  <c r="F50" i="16"/>
  <c r="G50" i="16"/>
  <c r="H50" i="16"/>
  <c r="I50" i="16"/>
  <c r="J50" i="16"/>
  <c r="K50" i="16"/>
  <c r="L50" i="16"/>
  <c r="M50" i="16"/>
  <c r="N50" i="16"/>
  <c r="C50" i="16"/>
  <c r="I7" i="26" l="1"/>
  <c r="J7" i="26" s="1"/>
  <c r="K7" i="26" s="1"/>
  <c r="L7" i="26" s="1"/>
  <c r="P21" i="26" l="1"/>
  <c r="K23" i="26" s="1"/>
  <c r="C23" i="26" l="1"/>
  <c r="E23" i="26"/>
  <c r="G23" i="26"/>
  <c r="D23" i="26"/>
  <c r="H23" i="26"/>
  <c r="I23" i="26"/>
  <c r="M8" i="6" l="1"/>
  <c r="M8" i="33" s="1"/>
  <c r="M9" i="33" s="1"/>
  <c r="M11" i="6"/>
  <c r="M11" i="33" s="1"/>
  <c r="M12" i="6"/>
  <c r="M12" i="33" s="1"/>
  <c r="M15" i="6"/>
  <c r="M15" i="33" s="1"/>
  <c r="M16" i="6"/>
  <c r="M16" i="33" s="1"/>
  <c r="M19" i="6"/>
  <c r="M19" i="33" s="1"/>
  <c r="M20" i="6"/>
  <c r="M20" i="33" s="1"/>
  <c r="M23" i="6"/>
  <c r="M23" i="33" s="1"/>
  <c r="M24" i="6"/>
  <c r="M24" i="33" s="1"/>
  <c r="M39" i="6"/>
  <c r="M40" i="33" s="1"/>
  <c r="M28" i="6"/>
  <c r="M28" i="33" s="1"/>
  <c r="B8" i="6"/>
  <c r="B8" i="33" s="1"/>
  <c r="B9" i="33" s="1"/>
  <c r="C8" i="6"/>
  <c r="C8" i="33" s="1"/>
  <c r="C9" i="33" s="1"/>
  <c r="D8" i="6"/>
  <c r="D8" i="33" s="1"/>
  <c r="D9" i="33" s="1"/>
  <c r="E8" i="6"/>
  <c r="E8" i="33" s="1"/>
  <c r="E9" i="33" s="1"/>
  <c r="F8" i="6"/>
  <c r="F8" i="33" s="1"/>
  <c r="F9" i="33" s="1"/>
  <c r="G8" i="6"/>
  <c r="G8" i="33" s="1"/>
  <c r="G9" i="33" s="1"/>
  <c r="H8" i="6"/>
  <c r="H8" i="33" s="1"/>
  <c r="H9" i="33" s="1"/>
  <c r="I8" i="6"/>
  <c r="J8" i="6"/>
  <c r="J8" i="33" s="1"/>
  <c r="J9" i="33" s="1"/>
  <c r="K8" i="6"/>
  <c r="L8" i="6"/>
  <c r="L8" i="33" s="1"/>
  <c r="L9" i="33" s="1"/>
  <c r="B11" i="6"/>
  <c r="B11" i="33" s="1"/>
  <c r="B12" i="6"/>
  <c r="B12" i="33" s="1"/>
  <c r="C11" i="6"/>
  <c r="C11" i="33" s="1"/>
  <c r="C12" i="6"/>
  <c r="C12" i="33" s="1"/>
  <c r="D11" i="6"/>
  <c r="D11" i="33" s="1"/>
  <c r="D12" i="6"/>
  <c r="D12" i="33" s="1"/>
  <c r="E11" i="6"/>
  <c r="E11" i="33" s="1"/>
  <c r="E12" i="6"/>
  <c r="E12" i="33" s="1"/>
  <c r="F11" i="6"/>
  <c r="F11" i="33" s="1"/>
  <c r="F12" i="6"/>
  <c r="F12" i="33" s="1"/>
  <c r="G11" i="6"/>
  <c r="G11" i="33" s="1"/>
  <c r="G12" i="6"/>
  <c r="G12" i="33" s="1"/>
  <c r="H11" i="6"/>
  <c r="H11" i="33" s="1"/>
  <c r="H12" i="6"/>
  <c r="H12" i="33" s="1"/>
  <c r="I11" i="6"/>
  <c r="I11" i="33" s="1"/>
  <c r="I12" i="6"/>
  <c r="I12" i="33" s="1"/>
  <c r="J11" i="6"/>
  <c r="J11" i="33" s="1"/>
  <c r="J12" i="6"/>
  <c r="J12" i="33" s="1"/>
  <c r="K11" i="6"/>
  <c r="K11" i="33" s="1"/>
  <c r="K12" i="6"/>
  <c r="K12" i="33" s="1"/>
  <c r="L11" i="6"/>
  <c r="L11" i="33" s="1"/>
  <c r="L12" i="6"/>
  <c r="L12" i="33" s="1"/>
  <c r="B15" i="6"/>
  <c r="B15" i="33" s="1"/>
  <c r="B16" i="6"/>
  <c r="B16" i="33" s="1"/>
  <c r="C15" i="6"/>
  <c r="C15" i="33" s="1"/>
  <c r="C16" i="6"/>
  <c r="C16" i="33" s="1"/>
  <c r="D15" i="6"/>
  <c r="D15" i="33" s="1"/>
  <c r="D16" i="6"/>
  <c r="D16" i="33" s="1"/>
  <c r="E15" i="6"/>
  <c r="E15" i="33" s="1"/>
  <c r="E16" i="6"/>
  <c r="E16" i="33" s="1"/>
  <c r="F15" i="6"/>
  <c r="F15" i="33" s="1"/>
  <c r="F16" i="6"/>
  <c r="F16" i="33" s="1"/>
  <c r="G15" i="6"/>
  <c r="G15" i="33" s="1"/>
  <c r="G16" i="6"/>
  <c r="G16" i="33" s="1"/>
  <c r="H15" i="6"/>
  <c r="H15" i="33" s="1"/>
  <c r="H16" i="6"/>
  <c r="H16" i="33" s="1"/>
  <c r="I15" i="6"/>
  <c r="I15" i="33" s="1"/>
  <c r="I16" i="6"/>
  <c r="I16" i="33" s="1"/>
  <c r="J15" i="6"/>
  <c r="J15" i="33" s="1"/>
  <c r="J16" i="6"/>
  <c r="J16" i="33" s="1"/>
  <c r="K15" i="6"/>
  <c r="K15" i="33" s="1"/>
  <c r="K16" i="6"/>
  <c r="K16" i="33" s="1"/>
  <c r="L15" i="6"/>
  <c r="L15" i="33" s="1"/>
  <c r="L16" i="6"/>
  <c r="L16" i="33" s="1"/>
  <c r="B19" i="6"/>
  <c r="B19" i="33" s="1"/>
  <c r="B20" i="6"/>
  <c r="B20" i="33" s="1"/>
  <c r="C19" i="6"/>
  <c r="C19" i="33" s="1"/>
  <c r="C20" i="6"/>
  <c r="C20" i="33" s="1"/>
  <c r="D19" i="6"/>
  <c r="D19" i="33" s="1"/>
  <c r="D20" i="6"/>
  <c r="D20" i="33" s="1"/>
  <c r="E19" i="6"/>
  <c r="E19" i="33" s="1"/>
  <c r="E20" i="6"/>
  <c r="E20" i="33" s="1"/>
  <c r="F19" i="6"/>
  <c r="F19" i="33" s="1"/>
  <c r="F20" i="6"/>
  <c r="F20" i="33" s="1"/>
  <c r="G19" i="6"/>
  <c r="G19" i="33" s="1"/>
  <c r="G20" i="6"/>
  <c r="G20" i="33" s="1"/>
  <c r="H19" i="6"/>
  <c r="H19" i="33" s="1"/>
  <c r="H20" i="6"/>
  <c r="H20" i="33" s="1"/>
  <c r="I19" i="6"/>
  <c r="I19" i="33" s="1"/>
  <c r="I20" i="6"/>
  <c r="I20" i="33" s="1"/>
  <c r="J19" i="6"/>
  <c r="J19" i="33" s="1"/>
  <c r="J20" i="6"/>
  <c r="J20" i="33" s="1"/>
  <c r="K19" i="6"/>
  <c r="K19" i="33" s="1"/>
  <c r="K20" i="6"/>
  <c r="K20" i="33" s="1"/>
  <c r="L19" i="6"/>
  <c r="L19" i="33" s="1"/>
  <c r="L20" i="6"/>
  <c r="L20" i="33" s="1"/>
  <c r="B23" i="6"/>
  <c r="B23" i="33" s="1"/>
  <c r="C23" i="6"/>
  <c r="C23" i="33" s="1"/>
  <c r="D23" i="6"/>
  <c r="D23" i="33" s="1"/>
  <c r="E23" i="6"/>
  <c r="E23" i="33" s="1"/>
  <c r="F23" i="6"/>
  <c r="F23" i="33" s="1"/>
  <c r="G23" i="6"/>
  <c r="G23" i="33" s="1"/>
  <c r="H23" i="6"/>
  <c r="H23" i="33" s="1"/>
  <c r="I23" i="6"/>
  <c r="I23" i="33" s="1"/>
  <c r="J23" i="6"/>
  <c r="J23" i="33" s="1"/>
  <c r="K23" i="6"/>
  <c r="K23" i="33" s="1"/>
  <c r="L23" i="6"/>
  <c r="L23" i="33" s="1"/>
  <c r="B24" i="6"/>
  <c r="B24" i="33" s="1"/>
  <c r="C24" i="6"/>
  <c r="C24" i="33" s="1"/>
  <c r="D24" i="6"/>
  <c r="D24" i="33" s="1"/>
  <c r="E24" i="6"/>
  <c r="E24" i="33" s="1"/>
  <c r="F24" i="6"/>
  <c r="F24" i="33" s="1"/>
  <c r="G24" i="6"/>
  <c r="G24" i="33" s="1"/>
  <c r="H24" i="6"/>
  <c r="H24" i="33" s="1"/>
  <c r="I24" i="6"/>
  <c r="I24" i="33" s="1"/>
  <c r="J24" i="6"/>
  <c r="J24" i="33" s="1"/>
  <c r="K24" i="6"/>
  <c r="K24" i="33" s="1"/>
  <c r="L24" i="6"/>
  <c r="L24" i="33" s="1"/>
  <c r="B39" i="6"/>
  <c r="C39" i="6"/>
  <c r="C40" i="33" s="1"/>
  <c r="D39" i="6"/>
  <c r="D40" i="33" s="1"/>
  <c r="E39" i="6"/>
  <c r="E40" i="33" s="1"/>
  <c r="F39" i="6"/>
  <c r="F40" i="33" s="1"/>
  <c r="G39" i="6"/>
  <c r="G40" i="33" s="1"/>
  <c r="H39" i="6"/>
  <c r="H40" i="33" s="1"/>
  <c r="I39" i="6"/>
  <c r="J39" i="6"/>
  <c r="J40" i="33" s="1"/>
  <c r="K39" i="6"/>
  <c r="K40" i="33" s="1"/>
  <c r="L39" i="6"/>
  <c r="L40" i="33" s="1"/>
  <c r="B28" i="6"/>
  <c r="B28" i="33" s="1"/>
  <c r="C28" i="6"/>
  <c r="C28" i="33" s="1"/>
  <c r="D28" i="6"/>
  <c r="D28" i="33" s="1"/>
  <c r="E28" i="6"/>
  <c r="E28" i="33" s="1"/>
  <c r="F28" i="6"/>
  <c r="F28" i="33" s="1"/>
  <c r="G28" i="6"/>
  <c r="G28" i="33" s="1"/>
  <c r="H28" i="6"/>
  <c r="H28" i="33" s="1"/>
  <c r="I28" i="6"/>
  <c r="J28" i="6"/>
  <c r="J28" i="33" s="1"/>
  <c r="K28" i="6"/>
  <c r="K28" i="33" s="1"/>
  <c r="L28" i="6"/>
  <c r="L28" i="33" s="1"/>
  <c r="O9" i="16"/>
  <c r="O10" i="16"/>
  <c r="O11" i="16"/>
  <c r="O12" i="16"/>
  <c r="O13" i="16"/>
  <c r="O14" i="16"/>
  <c r="O15" i="16"/>
  <c r="O16" i="16"/>
  <c r="O17" i="16"/>
  <c r="O18" i="16"/>
  <c r="O20" i="16"/>
  <c r="O22" i="16"/>
  <c r="O23" i="16"/>
  <c r="C37" i="6"/>
  <c r="C38" i="33" s="1"/>
  <c r="D37" i="6"/>
  <c r="D38" i="33" s="1"/>
  <c r="E37" i="6"/>
  <c r="E38" i="33" s="1"/>
  <c r="F37" i="6"/>
  <c r="F38" i="33" s="1"/>
  <c r="G37" i="6"/>
  <c r="G38" i="33" s="1"/>
  <c r="H37" i="6"/>
  <c r="H38" i="33" s="1"/>
  <c r="I37" i="6"/>
  <c r="I38" i="33" s="1"/>
  <c r="J37" i="6"/>
  <c r="K37" i="6"/>
  <c r="L37" i="6"/>
  <c r="M37" i="6"/>
  <c r="B37" i="6"/>
  <c r="B38" i="33" s="1"/>
  <c r="C36" i="6"/>
  <c r="C37" i="33" s="1"/>
  <c r="D36" i="6"/>
  <c r="D37" i="33" s="1"/>
  <c r="E36" i="6"/>
  <c r="E37" i="33" s="1"/>
  <c r="F36" i="6"/>
  <c r="F37" i="33" s="1"/>
  <c r="G36" i="6"/>
  <c r="G37" i="33" s="1"/>
  <c r="H36" i="6"/>
  <c r="H37" i="33" s="1"/>
  <c r="I36" i="6"/>
  <c r="J36" i="6"/>
  <c r="K36" i="6"/>
  <c r="L36" i="6"/>
  <c r="M36" i="6"/>
  <c r="B36" i="6"/>
  <c r="B37" i="33" s="1"/>
  <c r="C35" i="6"/>
  <c r="D35" i="6"/>
  <c r="D41" i="6" s="1"/>
  <c r="E35" i="6"/>
  <c r="F35" i="6"/>
  <c r="F41" i="6" s="1"/>
  <c r="G35" i="6"/>
  <c r="H35" i="6"/>
  <c r="H41" i="6" s="1"/>
  <c r="I35" i="6"/>
  <c r="J35" i="6"/>
  <c r="J41" i="6" s="1"/>
  <c r="K35" i="6"/>
  <c r="L35" i="6"/>
  <c r="L41" i="6" s="1"/>
  <c r="M35" i="6"/>
  <c r="B35" i="6"/>
  <c r="B41" i="6" s="1"/>
  <c r="I36" i="33" l="1"/>
  <c r="I41" i="6"/>
  <c r="K36" i="33"/>
  <c r="K42" i="33" s="1"/>
  <c r="K41" i="6"/>
  <c r="G36" i="33"/>
  <c r="G42" i="33" s="1"/>
  <c r="G41" i="6"/>
  <c r="C36" i="33"/>
  <c r="C42" i="33" s="1"/>
  <c r="C41" i="6"/>
  <c r="M36" i="33"/>
  <c r="M41" i="6"/>
  <c r="E36" i="33"/>
  <c r="E42" i="33" s="1"/>
  <c r="E41" i="6"/>
  <c r="B40" i="33"/>
  <c r="E25" i="33"/>
  <c r="D13" i="33"/>
  <c r="C25" i="33"/>
  <c r="G21" i="33"/>
  <c r="E21" i="33"/>
  <c r="C21" i="33"/>
  <c r="D17" i="33"/>
  <c r="G13" i="33"/>
  <c r="H25" i="33"/>
  <c r="D25" i="33"/>
  <c r="H36" i="33"/>
  <c r="H42" i="33" s="1"/>
  <c r="H21" i="33"/>
  <c r="D21" i="33"/>
  <c r="G17" i="33"/>
  <c r="C17" i="33"/>
  <c r="F13" i="33"/>
  <c r="D36" i="33"/>
  <c r="D42" i="33" s="1"/>
  <c r="F21" i="33"/>
  <c r="B21" i="33"/>
  <c r="E17" i="33"/>
  <c r="H13" i="33"/>
  <c r="B13" i="33"/>
  <c r="B36" i="33"/>
  <c r="B42" i="33" s="1"/>
  <c r="F36" i="33"/>
  <c r="F42" i="33" s="1"/>
  <c r="G25" i="33"/>
  <c r="F25" i="33"/>
  <c r="B25" i="33"/>
  <c r="H17" i="33"/>
  <c r="F17" i="33"/>
  <c r="B17" i="33"/>
  <c r="E13" i="33"/>
  <c r="C13" i="33"/>
  <c r="M21" i="33"/>
  <c r="M13" i="33"/>
  <c r="M37" i="33"/>
  <c r="M38" i="33"/>
  <c r="M25" i="33"/>
  <c r="M17" i="33"/>
  <c r="L13" i="33"/>
  <c r="L21" i="33"/>
  <c r="K21" i="33"/>
  <c r="K13" i="33"/>
  <c r="L36" i="33"/>
  <c r="L42" i="33" s="1"/>
  <c r="L38" i="33"/>
  <c r="L25" i="33"/>
  <c r="L37" i="33"/>
  <c r="L17" i="33"/>
  <c r="K37" i="33"/>
  <c r="K38" i="33"/>
  <c r="N16" i="33"/>
  <c r="K9" i="6"/>
  <c r="K8" i="33"/>
  <c r="K9" i="33" s="1"/>
  <c r="K17" i="33"/>
  <c r="K25" i="33"/>
  <c r="J36" i="33"/>
  <c r="J42" i="33" s="1"/>
  <c r="J37" i="33"/>
  <c r="J38" i="33"/>
  <c r="N24" i="33"/>
  <c r="J21" i="33"/>
  <c r="J13" i="33"/>
  <c r="N20" i="33"/>
  <c r="N12" i="33"/>
  <c r="J25" i="33"/>
  <c r="J17" i="33"/>
  <c r="I17" i="33"/>
  <c r="N15" i="33"/>
  <c r="I37" i="33"/>
  <c r="I28" i="33"/>
  <c r="N45" i="34" a="1"/>
  <c r="I21" i="33"/>
  <c r="N19" i="33"/>
  <c r="I13" i="33"/>
  <c r="N11" i="33"/>
  <c r="I25" i="33"/>
  <c r="N23" i="33"/>
  <c r="I9" i="6"/>
  <c r="I8" i="33"/>
  <c r="I40" i="33"/>
  <c r="K36" i="28"/>
  <c r="K82" i="28"/>
  <c r="R56" i="28"/>
  <c r="G36" i="28"/>
  <c r="G82" i="28"/>
  <c r="N56" i="28"/>
  <c r="J56" i="28"/>
  <c r="C82" i="28"/>
  <c r="C36" i="28"/>
  <c r="G7" i="16"/>
  <c r="G31" i="16" s="1"/>
  <c r="C7" i="16"/>
  <c r="C31" i="16" s="1"/>
  <c r="M36" i="28"/>
  <c r="M82" i="28"/>
  <c r="T56" i="28"/>
  <c r="P56" i="28"/>
  <c r="I36" i="28"/>
  <c r="I82" i="28"/>
  <c r="E82" i="28"/>
  <c r="L56" i="28"/>
  <c r="E36" i="28"/>
  <c r="M7" i="16"/>
  <c r="M31" i="16" s="1"/>
  <c r="I7" i="16"/>
  <c r="I31" i="16" s="1"/>
  <c r="E7" i="16"/>
  <c r="E31" i="16" s="1"/>
  <c r="L21" i="6"/>
  <c r="G17" i="6"/>
  <c r="N19" i="6"/>
  <c r="C25" i="6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B7" i="6"/>
  <c r="B34" i="6" s="1"/>
  <c r="K7" i="16"/>
  <c r="K31" i="16" s="1"/>
  <c r="N24" i="6"/>
  <c r="N35" i="6"/>
  <c r="N27" i="6"/>
  <c r="N20" i="6"/>
  <c r="N12" i="6"/>
  <c r="G9" i="6"/>
  <c r="E9" i="6"/>
  <c r="N11" i="6"/>
  <c r="M9" i="6"/>
  <c r="K17" i="6"/>
  <c r="I17" i="6"/>
  <c r="F13" i="6"/>
  <c r="D13" i="6"/>
  <c r="C9" i="6"/>
  <c r="E25" i="6"/>
  <c r="N39" i="6"/>
  <c r="I25" i="6"/>
  <c r="N37" i="6"/>
  <c r="N36" i="6"/>
  <c r="N7" i="16"/>
  <c r="N31" i="16" s="1"/>
  <c r="M7" i="6"/>
  <c r="M34" i="6" s="1"/>
  <c r="L7" i="16"/>
  <c r="L31" i="16" s="1"/>
  <c r="K7" i="6"/>
  <c r="K34" i="6" s="1"/>
  <c r="J7" i="16"/>
  <c r="J31" i="16" s="1"/>
  <c r="I7" i="6"/>
  <c r="I34" i="6" s="1"/>
  <c r="H7" i="16"/>
  <c r="H31" i="16" s="1"/>
  <c r="G7" i="6"/>
  <c r="G34" i="6" s="1"/>
  <c r="F7" i="16"/>
  <c r="F31" i="16" s="1"/>
  <c r="E7" i="6"/>
  <c r="E34" i="6" s="1"/>
  <c r="D7" i="16"/>
  <c r="D31" i="16" s="1"/>
  <c r="C7" i="6"/>
  <c r="C34" i="6" s="1"/>
  <c r="L7" i="6"/>
  <c r="L34" i="6" s="1"/>
  <c r="J7" i="6"/>
  <c r="J34" i="6" s="1"/>
  <c r="H7" i="6"/>
  <c r="H34" i="6" s="1"/>
  <c r="F7" i="6"/>
  <c r="F34" i="6" s="1"/>
  <c r="D7" i="6"/>
  <c r="D34" i="6" s="1"/>
  <c r="O24" i="16"/>
  <c r="N16" i="6"/>
  <c r="N15" i="6"/>
  <c r="N8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N41" i="6" l="1"/>
  <c r="M42" i="33"/>
  <c r="I42" i="33"/>
  <c r="D30" i="33"/>
  <c r="D45" i="33" s="1"/>
  <c r="N36" i="33"/>
  <c r="N38" i="33"/>
  <c r="G30" i="33"/>
  <c r="G45" i="33" s="1"/>
  <c r="F30" i="33"/>
  <c r="F45" i="33" s="1"/>
  <c r="C30" i="33"/>
  <c r="C45" i="33" s="1"/>
  <c r="H30" i="33"/>
  <c r="H45" i="33" s="1"/>
  <c r="B30" i="33"/>
  <c r="B45" i="33" s="1"/>
  <c r="E30" i="33"/>
  <c r="E45" i="33" s="1"/>
  <c r="M30" i="33"/>
  <c r="L30" i="33"/>
  <c r="N37" i="33"/>
  <c r="O28" i="34" a="1"/>
  <c r="O31" i="34" s="1"/>
  <c r="N11" i="34" a="1"/>
  <c r="N18" i="34" s="1"/>
  <c r="J28" i="34" a="1"/>
  <c r="J32" i="34" s="1"/>
  <c r="K30" i="33"/>
  <c r="J30" i="33"/>
  <c r="N28" i="34" a="1"/>
  <c r="N30" i="34" s="1"/>
  <c r="J11" i="34" a="1"/>
  <c r="J19" i="34" s="1"/>
  <c r="R11" i="34" a="1"/>
  <c r="R22" i="34" s="1"/>
  <c r="O11" i="34" a="1"/>
  <c r="N13" i="33"/>
  <c r="N25" i="33"/>
  <c r="I9" i="33"/>
  <c r="K11" i="34" a="1"/>
  <c r="N8" i="33"/>
  <c r="K28" i="34" a="1"/>
  <c r="N21" i="33"/>
  <c r="S11" i="34" a="1"/>
  <c r="N17" i="33"/>
  <c r="N40" i="33"/>
  <c r="O45" i="34" a="1"/>
  <c r="N28" i="33"/>
  <c r="N55" i="34"/>
  <c r="N56" i="34"/>
  <c r="N46" i="34"/>
  <c r="N49" i="34"/>
  <c r="N51" i="34"/>
  <c r="N45" i="34"/>
  <c r="N54" i="34"/>
  <c r="N52" i="34"/>
  <c r="N50" i="34"/>
  <c r="N48" i="34"/>
  <c r="N53" i="34"/>
  <c r="N47" i="34"/>
  <c r="H36" i="28"/>
  <c r="H82" i="28"/>
  <c r="O56" i="28"/>
  <c r="B82" i="28"/>
  <c r="B36" i="28"/>
  <c r="I56" i="28"/>
  <c r="Q56" i="28"/>
  <c r="J36" i="28"/>
  <c r="J82" i="28"/>
  <c r="D36" i="28"/>
  <c r="D82" i="28"/>
  <c r="K56" i="28"/>
  <c r="S56" i="28"/>
  <c r="L36" i="28"/>
  <c r="L82" i="28"/>
  <c r="F82" i="28"/>
  <c r="M56" i="28"/>
  <c r="F36" i="28"/>
  <c r="N25" i="6"/>
  <c r="E30" i="6"/>
  <c r="I30" i="6"/>
  <c r="I32" i="28" s="1"/>
  <c r="M30" i="6"/>
  <c r="M32" i="28" s="1"/>
  <c r="C30" i="6"/>
  <c r="D30" i="6"/>
  <c r="D32" i="28" s="1"/>
  <c r="G30" i="6"/>
  <c r="H30" i="6"/>
  <c r="K30" i="6"/>
  <c r="K32" i="28" s="1"/>
  <c r="L30" i="6"/>
  <c r="L32" i="28" s="1"/>
  <c r="N13" i="6"/>
  <c r="N21" i="6"/>
  <c r="B30" i="6"/>
  <c r="N9" i="6"/>
  <c r="F30" i="6"/>
  <c r="J30" i="6"/>
  <c r="J32" i="28" s="1"/>
  <c r="N17" i="6"/>
  <c r="N42" i="33" l="1"/>
  <c r="J18" i="34"/>
  <c r="R11" i="34"/>
  <c r="L45" i="33"/>
  <c r="M45" i="33"/>
  <c r="J45" i="33"/>
  <c r="D32" i="33"/>
  <c r="N14" i="34"/>
  <c r="O34" i="34"/>
  <c r="O39" i="34"/>
  <c r="O35" i="34"/>
  <c r="N28" i="34"/>
  <c r="N11" i="34"/>
  <c r="O36" i="34"/>
  <c r="O32" i="34"/>
  <c r="O33" i="34"/>
  <c r="O28" i="34"/>
  <c r="O37" i="34"/>
  <c r="O38" i="34"/>
  <c r="N31" i="34"/>
  <c r="P31" i="34" s="1"/>
  <c r="N21" i="34"/>
  <c r="M32" i="33"/>
  <c r="O30" i="34"/>
  <c r="O29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2" i="33"/>
  <c r="K32" i="33"/>
  <c r="R12" i="34"/>
  <c r="N39" i="34"/>
  <c r="K45" i="33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J32" i="33"/>
  <c r="H32" i="28"/>
  <c r="H32" i="33"/>
  <c r="G32" i="28"/>
  <c r="G32" i="33"/>
  <c r="F32" i="28"/>
  <c r="F32" i="33"/>
  <c r="E32" i="28"/>
  <c r="E32" i="33"/>
  <c r="C44" i="6"/>
  <c r="C32" i="28"/>
  <c r="C32" i="33"/>
  <c r="B44" i="6"/>
  <c r="B32" i="28"/>
  <c r="B32" i="33"/>
  <c r="N57" i="34"/>
  <c r="O45" i="34"/>
  <c r="O51" i="34"/>
  <c r="O56" i="34"/>
  <c r="O46" i="34"/>
  <c r="O50" i="34"/>
  <c r="O48" i="34"/>
  <c r="O53" i="34"/>
  <c r="O47" i="34"/>
  <c r="O55" i="34"/>
  <c r="O54" i="34"/>
  <c r="O52" i="34"/>
  <c r="O49" i="34"/>
  <c r="S11" i="34"/>
  <c r="S13" i="34"/>
  <c r="S18" i="34"/>
  <c r="S16" i="34"/>
  <c r="S21" i="34"/>
  <c r="S12" i="34"/>
  <c r="S17" i="34"/>
  <c r="S22" i="34"/>
  <c r="S14" i="34"/>
  <c r="S20" i="34"/>
  <c r="S19" i="34"/>
  <c r="S15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0" i="33"/>
  <c r="N9" i="33"/>
  <c r="K28" i="34"/>
  <c r="K35" i="34"/>
  <c r="K39" i="34"/>
  <c r="K38" i="34"/>
  <c r="K33" i="34"/>
  <c r="K34" i="34"/>
  <c r="K29" i="34"/>
  <c r="K30" i="34"/>
  <c r="K31" i="34"/>
  <c r="K37" i="34"/>
  <c r="K32" i="34"/>
  <c r="K36" i="34"/>
  <c r="O11" i="34"/>
  <c r="O18" i="34"/>
  <c r="O22" i="34"/>
  <c r="O14" i="34"/>
  <c r="O21" i="34"/>
  <c r="O16" i="34"/>
  <c r="O17" i="34"/>
  <c r="O12" i="34"/>
  <c r="O13" i="34"/>
  <c r="O20" i="34"/>
  <c r="O15" i="34"/>
  <c r="O19" i="34"/>
  <c r="J44" i="6"/>
  <c r="K44" i="6"/>
  <c r="L44" i="6"/>
  <c r="H44" i="6"/>
  <c r="I44" i="6"/>
  <c r="G44" i="6"/>
  <c r="F44" i="6"/>
  <c r="E44" i="6"/>
  <c r="D44" i="6"/>
  <c r="M44" i="6"/>
  <c r="N30" i="6"/>
  <c r="J63" i="34" l="1"/>
  <c r="J70" i="34"/>
  <c r="C20" i="34" s="1"/>
  <c r="C20" i="36" s="1"/>
  <c r="J71" i="34"/>
  <c r="C21" i="34" s="1"/>
  <c r="C21" i="36" s="1"/>
  <c r="K70" i="34"/>
  <c r="D20" i="34" s="1"/>
  <c r="D20" i="36" s="1"/>
  <c r="J64" i="34"/>
  <c r="C14" i="34" s="1"/>
  <c r="C14" i="36" s="1"/>
  <c r="K64" i="34"/>
  <c r="D14" i="34" s="1"/>
  <c r="D14" i="36" s="1"/>
  <c r="E14" i="36" s="1"/>
  <c r="J62" i="34"/>
  <c r="C12" i="34" s="1"/>
  <c r="C12" i="36" s="1"/>
  <c r="J68" i="34"/>
  <c r="C18" i="34" s="1"/>
  <c r="C18" i="36" s="1"/>
  <c r="K68" i="34"/>
  <c r="D18" i="34" s="1"/>
  <c r="D18" i="36" s="1"/>
  <c r="K69" i="34"/>
  <c r="J72" i="34"/>
  <c r="C22" i="34" s="1"/>
  <c r="C22" i="36" s="1"/>
  <c r="K73" i="34"/>
  <c r="D23" i="34" s="1"/>
  <c r="D23" i="36" s="1"/>
  <c r="J67" i="34"/>
  <c r="C17" i="34" s="1"/>
  <c r="C17" i="36" s="1"/>
  <c r="J65" i="34"/>
  <c r="C15" i="34" s="1"/>
  <c r="C15" i="36" s="1"/>
  <c r="J69" i="34"/>
  <c r="C19" i="34" s="1"/>
  <c r="C19" i="36" s="1"/>
  <c r="K65" i="34"/>
  <c r="D15" i="34" s="1"/>
  <c r="D15" i="36" s="1"/>
  <c r="E15" i="36" s="1"/>
  <c r="K62" i="34"/>
  <c r="K66" i="34"/>
  <c r="D16" i="34" s="1"/>
  <c r="D16" i="36" s="1"/>
  <c r="K67" i="34"/>
  <c r="D17" i="34" s="1"/>
  <c r="D17" i="36" s="1"/>
  <c r="E17" i="36" s="1"/>
  <c r="K71" i="34"/>
  <c r="D21" i="34" s="1"/>
  <c r="D21" i="36" s="1"/>
  <c r="K63" i="34"/>
  <c r="D13" i="34" s="1"/>
  <c r="D13" i="36" s="1"/>
  <c r="K72" i="34"/>
  <c r="D22" i="34" s="1"/>
  <c r="D22" i="36" s="1"/>
  <c r="J66" i="34"/>
  <c r="C16" i="34" s="1"/>
  <c r="C16" i="36" s="1"/>
  <c r="E16" i="36" s="1"/>
  <c r="J73" i="34"/>
  <c r="C23" i="34" s="1"/>
  <c r="C23" i="36" s="1"/>
  <c r="P38" i="34"/>
  <c r="P28" i="34"/>
  <c r="P30" i="34"/>
  <c r="O40" i="34"/>
  <c r="P32" i="34"/>
  <c r="P34" i="34"/>
  <c r="N23" i="34"/>
  <c r="P39" i="34"/>
  <c r="P33" i="34"/>
  <c r="J40" i="34"/>
  <c r="P36" i="34"/>
  <c r="R23" i="34"/>
  <c r="N40" i="34"/>
  <c r="P29" i="34"/>
  <c r="J23" i="34"/>
  <c r="C13" i="34"/>
  <c r="C13" i="36" s="1"/>
  <c r="P35" i="34"/>
  <c r="L22" i="34"/>
  <c r="P15" i="34"/>
  <c r="P17" i="34"/>
  <c r="P22" i="34"/>
  <c r="L37" i="34"/>
  <c r="L34" i="34"/>
  <c r="L35" i="34"/>
  <c r="T20" i="34"/>
  <c r="T12" i="34"/>
  <c r="T13" i="34"/>
  <c r="P54" i="34"/>
  <c r="P48" i="34"/>
  <c r="P51" i="34"/>
  <c r="P19" i="34"/>
  <c r="P12" i="34"/>
  <c r="P14" i="34"/>
  <c r="L32" i="34"/>
  <c r="L29" i="34"/>
  <c r="L39" i="34"/>
  <c r="T17" i="34"/>
  <c r="P52" i="34"/>
  <c r="P56" i="34"/>
  <c r="P20" i="34"/>
  <c r="P16" i="34"/>
  <c r="P18" i="34"/>
  <c r="L31" i="34"/>
  <c r="L33" i="34"/>
  <c r="T21" i="34"/>
  <c r="P55" i="34"/>
  <c r="P50" i="34"/>
  <c r="T18" i="34"/>
  <c r="P53" i="34"/>
  <c r="P13" i="34"/>
  <c r="P21" i="34"/>
  <c r="P11" i="34"/>
  <c r="L36" i="34"/>
  <c r="L30" i="34"/>
  <c r="L38" i="34"/>
  <c r="T15" i="34"/>
  <c r="T22" i="34"/>
  <c r="T16" i="34"/>
  <c r="P49" i="34"/>
  <c r="P47" i="34"/>
  <c r="P46" i="34"/>
  <c r="T19" i="34"/>
  <c r="P37" i="34"/>
  <c r="T14" i="34"/>
  <c r="N44" i="6"/>
  <c r="N32" i="28"/>
  <c r="K40" i="34"/>
  <c r="L28" i="34"/>
  <c r="L15" i="34"/>
  <c r="L16" i="34"/>
  <c r="L20" i="34"/>
  <c r="L12" i="34"/>
  <c r="L21" i="34"/>
  <c r="I32" i="33"/>
  <c r="I45" i="33"/>
  <c r="L19" i="34"/>
  <c r="L17" i="34"/>
  <c r="L14" i="34"/>
  <c r="S23" i="34"/>
  <c r="T11" i="34"/>
  <c r="O57" i="34"/>
  <c r="P45" i="34"/>
  <c r="O23" i="34"/>
  <c r="D19" i="34"/>
  <c r="D19" i="36" s="1"/>
  <c r="E19" i="36" s="1"/>
  <c r="L18" i="34"/>
  <c r="L13" i="34"/>
  <c r="K23" i="34"/>
  <c r="L11" i="34"/>
  <c r="N30" i="33"/>
  <c r="C24" i="36" l="1"/>
  <c r="E23" i="36"/>
  <c r="E21" i="36"/>
  <c r="E20" i="36"/>
  <c r="E22" i="36"/>
  <c r="E13" i="36"/>
  <c r="E18" i="36"/>
  <c r="L69" i="34"/>
  <c r="L62" i="34"/>
  <c r="L71" i="34"/>
  <c r="L65" i="34"/>
  <c r="L63" i="34"/>
  <c r="L68" i="34"/>
  <c r="L67" i="34"/>
  <c r="L64" i="34"/>
  <c r="L70" i="34"/>
  <c r="L72" i="34"/>
  <c r="L66" i="34"/>
  <c r="L73" i="34"/>
  <c r="E22" i="34"/>
  <c r="E17" i="34"/>
  <c r="E16" i="34"/>
  <c r="E13" i="34"/>
  <c r="E19" i="34"/>
  <c r="E21" i="34"/>
  <c r="E18" i="34"/>
  <c r="P23" i="34"/>
  <c r="E20" i="34"/>
  <c r="P40" i="34"/>
  <c r="E23" i="34"/>
  <c r="C24" i="34"/>
  <c r="L40" i="34"/>
  <c r="P57" i="34"/>
  <c r="T23" i="34"/>
  <c r="E15" i="34"/>
  <c r="J74" i="34"/>
  <c r="L23" i="34"/>
  <c r="D12" i="34"/>
  <c r="K74" i="34"/>
  <c r="N32" i="33"/>
  <c r="N45" i="33"/>
  <c r="E14" i="34"/>
  <c r="E12" i="34" l="1"/>
  <c r="D12" i="36"/>
  <c r="L74" i="34"/>
  <c r="D24" i="34"/>
  <c r="E24" i="34"/>
  <c r="E12" i="36" l="1"/>
  <c r="E24" i="36" s="1"/>
  <c r="D24" i="36"/>
  <c r="F14" i="2"/>
  <c r="M14" i="2"/>
  <c r="K14" i="2"/>
  <c r="H14" i="2"/>
  <c r="G14" i="2"/>
  <c r="E14" i="2"/>
  <c r="N14" i="2"/>
  <c r="L14" i="2"/>
  <c r="I14" i="2"/>
  <c r="D14" i="2"/>
  <c r="J14" i="2"/>
  <c r="B27" i="2" l="1"/>
  <c r="C14" i="2"/>
  <c r="B14" i="2" s="1"/>
  <c r="F33" i="36" s="1"/>
  <c r="J15" i="2" l="1"/>
  <c r="D15" i="2"/>
  <c r="E15" i="2"/>
  <c r="I15" i="2"/>
  <c r="N15" i="2"/>
  <c r="K15" i="2"/>
  <c r="L15" i="2"/>
  <c r="G15" i="2"/>
  <c r="M15" i="2"/>
  <c r="F15" i="2"/>
  <c r="H15" i="2"/>
  <c r="F12" i="2"/>
  <c r="J12" i="2"/>
  <c r="N12" i="2"/>
  <c r="K12" i="2"/>
  <c r="D12" i="2"/>
  <c r="H12" i="2"/>
  <c r="L12" i="2"/>
  <c r="G12" i="2"/>
  <c r="E12" i="2"/>
  <c r="I12" i="2"/>
  <c r="M12" i="2"/>
  <c r="B28" i="2" l="1"/>
  <c r="C15" i="2"/>
  <c r="B15" i="2" s="1"/>
  <c r="F34" i="36" s="1"/>
  <c r="C12" i="2"/>
  <c r="B12" i="2" s="1"/>
  <c r="F30" i="36" s="1"/>
  <c r="B25" i="2"/>
  <c r="F9" i="2"/>
  <c r="L9" i="2"/>
  <c r="G9" i="2"/>
  <c r="H9" i="2"/>
  <c r="N9" i="2"/>
  <c r="D9" i="2"/>
  <c r="J9" i="2"/>
  <c r="K9" i="2"/>
  <c r="M9" i="2"/>
  <c r="I9" i="2"/>
  <c r="E9" i="2"/>
  <c r="N11" i="2"/>
  <c r="M11" i="2"/>
  <c r="H11" i="2"/>
  <c r="F11" i="2"/>
  <c r="I11" i="2"/>
  <c r="K11" i="2"/>
  <c r="E11" i="2"/>
  <c r="L11" i="2"/>
  <c r="D11" i="2"/>
  <c r="G11" i="2"/>
  <c r="J11" i="2"/>
  <c r="F10" i="2"/>
  <c r="D10" i="2"/>
  <c r="K10" i="2"/>
  <c r="J10" i="2"/>
  <c r="G10" i="2"/>
  <c r="L10" i="2"/>
  <c r="H10" i="2"/>
  <c r="I10" i="2"/>
  <c r="M10" i="2"/>
  <c r="N10" i="2"/>
  <c r="E10" i="2"/>
  <c r="E13" i="2"/>
  <c r="J13" i="2"/>
  <c r="N13" i="2"/>
  <c r="L13" i="2"/>
  <c r="I13" i="2"/>
  <c r="F13" i="2"/>
  <c r="K13" i="2"/>
  <c r="M13" i="2"/>
  <c r="G13" i="2"/>
  <c r="H13" i="2"/>
  <c r="D13" i="2"/>
  <c r="M8" i="2" l="1"/>
  <c r="M17" i="2" s="1"/>
  <c r="M30" i="2"/>
  <c r="C8" i="2"/>
  <c r="B21" i="2"/>
  <c r="C30" i="2"/>
  <c r="I8" i="2"/>
  <c r="I17" i="2" s="1"/>
  <c r="I30" i="2"/>
  <c r="N8" i="2"/>
  <c r="N17" i="2" s="1"/>
  <c r="N30" i="2"/>
  <c r="E8" i="2"/>
  <c r="E17" i="2" s="1"/>
  <c r="E30" i="2"/>
  <c r="K8" i="2"/>
  <c r="K17" i="2" s="1"/>
  <c r="K30" i="2"/>
  <c r="J8" i="2"/>
  <c r="J17" i="2" s="1"/>
  <c r="J30" i="2"/>
  <c r="H8" i="2"/>
  <c r="H17" i="2" s="1"/>
  <c r="H30" i="2"/>
  <c r="D8" i="2"/>
  <c r="D17" i="2" s="1"/>
  <c r="D30" i="2"/>
  <c r="C13" i="2"/>
  <c r="B13" i="2" s="1"/>
  <c r="F31" i="36" s="1"/>
  <c r="B26" i="2"/>
  <c r="B23" i="2"/>
  <c r="C10" i="2"/>
  <c r="B10" i="2" s="1"/>
  <c r="F28" i="36" s="1"/>
  <c r="B24" i="2"/>
  <c r="C11" i="2"/>
  <c r="B11" i="2" s="1"/>
  <c r="F29" i="36" s="1"/>
  <c r="C9" i="2"/>
  <c r="B9" i="2" s="1"/>
  <c r="F27" i="36" s="1"/>
  <c r="B22" i="2"/>
  <c r="L8" i="2"/>
  <c r="L17" i="2" s="1"/>
  <c r="L30" i="2"/>
  <c r="G8" i="2"/>
  <c r="G17" i="2" s="1"/>
  <c r="G30" i="2"/>
  <c r="F8" i="2"/>
  <c r="F17" i="2" s="1"/>
  <c r="F30" i="2"/>
  <c r="C17" i="2" l="1"/>
  <c r="B8" i="2"/>
  <c r="B30" i="2"/>
  <c r="B17" i="2" l="1"/>
  <c r="F26" i="36"/>
  <c r="F35" i="36" s="1"/>
  <c r="F41" i="36" l="1"/>
  <c r="G42" i="36" s="1"/>
  <c r="F37" i="36"/>
  <c r="G35" i="36"/>
  <c r="F38" i="36"/>
  <c r="G39" i="36" s="1"/>
  <c r="G44" i="36" s="1"/>
  <c r="G46" i="36" s="1"/>
  <c r="G47" i="36" s="1"/>
</calcChain>
</file>

<file path=xl/sharedStrings.xml><?xml version="1.0" encoding="utf-8"?>
<sst xmlns="http://schemas.openxmlformats.org/spreadsheetml/2006/main" count="407" uniqueCount="182">
  <si>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</si>
  <si>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</si>
  <si>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</si>
  <si>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</si>
  <si>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</si>
  <si>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</si>
  <si>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</si>
  <si>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</si>
  <si>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</si>
  <si>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</si>
  <si>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</si>
  <si>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</si>
  <si>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</si>
  <si>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</si>
  <si>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</si>
  <si>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</si>
  <si>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</si>
  <si>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</si>
  <si>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</si>
  <si>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</si>
  <si>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</si>
  <si>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</si>
  <si>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</si>
  <si>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</si>
  <si>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</si>
  <si>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</si>
  <si>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</si>
  <si>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</si>
  <si>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</si>
  <si>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</si>
  <si>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</si>
  <si>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</si>
  <si>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</si>
  <si>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</si>
  <si>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</si>
  <si>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</si>
  <si>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</si>
  <si>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</si>
  <si>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</si>
  <si>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</si>
  <si>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</si>
  <si>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</si>
  <si>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</si>
  <si>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</si>
  <si>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</si>
  <si>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</si>
  <si>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</si>
  <si>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</si>
  <si>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</si>
  <si>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</si>
  <si>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</si>
  <si>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</si>
  <si>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</si>
  <si>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Month</t>
  </si>
  <si>
    <t>HDD65Coeff</t>
  </si>
  <si>
    <t>HDD45Coef</t>
  </si>
  <si>
    <t>CDD65Coef</t>
  </si>
  <si>
    <t>CDD60Coeff</t>
  </si>
  <si>
    <t>%</t>
  </si>
  <si>
    <t>Rate Schedules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</si>
  <si>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</si>
  <si>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</si>
  <si>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</si>
  <si>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</si>
  <si>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</si>
  <si>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</si>
  <si>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</si>
  <si>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</si>
  <si>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</si>
  <si>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</si>
  <si>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</si>
  <si>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</si>
  <si>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</si>
  <si>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</si>
  <si>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</si>
  <si>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</si>
  <si>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</si>
  <si>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</si>
  <si>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</si>
  <si>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</si>
  <si>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</si>
  <si>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</si>
  <si>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</si>
  <si>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</si>
  <si>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</si>
  <si>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</si>
  <si>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</si>
  <si>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</si>
  <si>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</si>
  <si>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</si>
  <si>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</si>
  <si>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</si>
  <si>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</si>
  <si>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</si>
  <si>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</si>
  <si>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</si>
  <si>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</si>
  <si>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</si>
  <si>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</si>
  <si>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</si>
  <si>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</si>
  <si>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</si>
  <si>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</si>
  <si>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</si>
  <si>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</si>
  <si>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</si>
  <si>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</si>
  <si>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</si>
  <si>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</si>
  <si>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</si>
  <si>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</si>
  <si>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</si>
  <si>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</si>
  <si>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</si>
  <si>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</si>
  <si>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</si>
  <si>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</si>
  <si>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</si>
  <si>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</si>
  <si>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</si>
  <si>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</si>
  <si>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</si>
  <si>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</si>
  <si>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Source: Booked kWh Sales from SAP BW Billing Data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</si>
  <si>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</si>
  <si>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</si>
  <si>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</si>
  <si>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</si>
  <si>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</si>
  <si>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</si>
  <si>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</si>
  <si>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</si>
  <si>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</si>
  <si>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</si>
  <si>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2020 Monthly Number of Customers by Rate Schedule</t>
  </si>
  <si>
    <t>2021 Rate schedule Temperature-Sensitivity Model Coefficients</t>
  </si>
  <si>
    <t>Weather Variables</t>
  </si>
  <si>
    <t>Year</t>
  </si>
  <si>
    <t>HDD65N (A)</t>
  </si>
  <si>
    <t>CDD65N (B)</t>
  </si>
  <si>
    <t>HDD65 (C)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</si>
  <si>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</si>
  <si>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</si>
  <si>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</si>
  <si>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</si>
  <si>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</si>
  <si>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</si>
  <si>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</si>
  <si>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</si>
  <si>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</si>
  <si>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GPI Adjustment</t>
  </si>
  <si>
    <t>HDD55N</t>
  </si>
  <si>
    <t>HDD55</t>
  </si>
  <si>
    <t>1/2020 - 12/2020</t>
  </si>
  <si>
    <t>WeatherAdjustment, MWHs</t>
  </si>
  <si>
    <t>HDD45Coeff</t>
  </si>
  <si>
    <t>CDD65Coeff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</si>
  <si>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</si>
  <si>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</si>
  <si>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</si>
  <si>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</si>
  <si>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Monthly History of HDD65, Jan. 2008 - Dec. 2021</t>
  </si>
  <si>
    <t>Normal weather values are 30-year average values for 1991-2020.</t>
  </si>
  <si>
    <t>2021 System Temperature-Sensitivity Model Coefficients - Modeling Data Sample Period: 1/1/2017 - 12/31/2020</t>
  </si>
  <si>
    <t>2021 System Model Coefficients:</t>
  </si>
  <si>
    <t>FOR THE TWELVE MONTHS ENDED DECEMBER, 2021</t>
  </si>
  <si>
    <t>% Diff from Normal (1/2021-12/2021)</t>
  </si>
  <si>
    <t>Effective  October 15, 2020 and July 1, 2021
Variable PCA Rates Only
(Decoupling Covers Fixed Production &amp; Margin Revenue)</t>
  </si>
  <si>
    <t>GPI KWH</t>
  </si>
  <si>
    <t>REVENUE ADJUSTMENT: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</si>
  <si>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</si>
  <si>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</si>
  <si>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</si>
  <si>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</si>
  <si>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</si>
  <si>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</si>
  <si>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</si>
  <si>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</si>
  <si>
    <t>Schedule 8 &amp; 24</t>
  </si>
  <si>
    <t>Schedule 11 &amp; 25</t>
  </si>
  <si>
    <t>Schedule 12 &amp; 26</t>
  </si>
  <si>
    <t>Schedule 10 &amp;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</si>
</sst>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.5"/>
      <color rgb="FFFF0000"/>
      <name val="MS Sans Serif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42573">
    <xf numFmtId="0" fontId="0" fillId="0" borderId="0"/>
    <xf numFmtId="166" fontId="6" fillId="0" borderId="0">
      <alignment horizontal="left" wrapText="1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38" fontId="8" fillId="22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38" fontId="25" fillId="0" borderId="0"/>
    <xf numFmtId="40" fontId="25" fillId="0" borderId="0"/>
    <xf numFmtId="0" fontId="38" fillId="7" borderId="1" applyNumberFormat="0" applyAlignment="0" applyProtection="0"/>
    <xf numFmtId="10" fontId="8" fillId="23" borderId="6" applyNumberFormat="0" applyBorder="0" applyAlignment="0" applyProtection="0"/>
    <xf numFmtId="0" fontId="39" fillId="0" borderId="7" applyNumberFormat="0" applyFill="0" applyAlignment="0" applyProtection="0"/>
    <xf numFmtId="44" fontId="26" fillId="0" borderId="8" applyNumberFormat="0" applyFont="0" applyAlignment="0">
      <alignment horizontal="center"/>
    </xf>
    <xf numFmtId="44" fontId="26" fillId="0" borderId="9" applyNumberFormat="0" applyFont="0" applyAlignment="0">
      <alignment horizontal="center"/>
    </xf>
    <xf numFmtId="0" fontId="40" fillId="24" borderId="0" applyNumberFormat="0" applyBorder="0" applyAlignment="0" applyProtection="0"/>
    <xf numFmtId="171" fontId="9" fillId="0" borderId="0"/>
    <xf numFmtId="0" fontId="20" fillId="0" borderId="0"/>
    <xf numFmtId="0" fontId="6" fillId="0" borderId="0"/>
    <xf numFmtId="0" fontId="6" fillId="25" borderId="10" applyNumberFormat="0" applyFont="0" applyAlignment="0" applyProtection="0"/>
    <xf numFmtId="0" fontId="41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5" fillId="0" borderId="13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5" fillId="0" borderId="0"/>
    <xf numFmtId="0" fontId="55" fillId="0" borderId="0"/>
    <xf numFmtId="166" fontId="6" fillId="0" borderId="0">
      <alignment horizontal="left" wrapText="1"/>
    </xf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5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5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5" fillId="0" borderId="0"/>
    <xf numFmtId="0" fontId="5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0" fontId="55" fillId="0" borderId="0"/>
    <xf numFmtId="174" fontId="57" fillId="0" borderId="0">
      <alignment horizontal="left"/>
    </xf>
    <xf numFmtId="175" fontId="58" fillId="0" borderId="0">
      <alignment horizontal="left"/>
    </xf>
    <xf numFmtId="0" fontId="59" fillId="0" borderId="38"/>
    <xf numFmtId="0" fontId="60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166" fontId="56" fillId="0" borderId="0">
      <alignment horizontal="left" wrapText="1"/>
    </xf>
    <xf numFmtId="0" fontId="28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56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" borderId="0" applyNumberFormat="0" applyBorder="0" applyAlignment="0" applyProtection="0"/>
    <xf numFmtId="166" fontId="56" fillId="0" borderId="0">
      <alignment horizontal="left" wrapText="1"/>
    </xf>
    <xf numFmtId="0" fontId="28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28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6" fontId="56" fillId="0" borderId="0">
      <alignment horizontal="left" wrapText="1"/>
    </xf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56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3" borderId="0" applyNumberFormat="0" applyBorder="0" applyAlignment="0" applyProtection="0"/>
    <xf numFmtId="166" fontId="56" fillId="0" borderId="0">
      <alignment horizontal="left" wrapText="1"/>
    </xf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166" fontId="56" fillId="0" borderId="0">
      <alignment horizontal="left" wrapText="1"/>
    </xf>
    <xf numFmtId="0" fontId="28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4" borderId="0" applyNumberFormat="0" applyBorder="0" applyAlignment="0" applyProtection="0"/>
    <xf numFmtId="166" fontId="56" fillId="0" borderId="0">
      <alignment horizontal="left" wrapText="1"/>
    </xf>
    <xf numFmtId="0" fontId="28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28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6" fontId="56" fillId="0" borderId="0">
      <alignment horizontal="left" wrapText="1"/>
    </xf>
    <xf numFmtId="0" fontId="28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56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5" borderId="0" applyNumberFormat="0" applyBorder="0" applyAlignment="0" applyProtection="0"/>
    <xf numFmtId="166" fontId="56" fillId="0" borderId="0">
      <alignment horizontal="left" wrapText="1"/>
    </xf>
    <xf numFmtId="0" fontId="28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28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6" fontId="56" fillId="0" borderId="0">
      <alignment horizontal="left" wrapText="1"/>
    </xf>
    <xf numFmtId="0" fontId="2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6" borderId="0" applyNumberFormat="0" applyBorder="0" applyAlignment="0" applyProtection="0"/>
    <xf numFmtId="0" fontId="5" fillId="31" borderId="0" applyNumberFormat="0" applyBorder="0" applyAlignment="0" applyProtection="0"/>
    <xf numFmtId="0" fontId="2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6" fontId="56" fillId="0" borderId="0">
      <alignment horizontal="left" wrapText="1"/>
    </xf>
    <xf numFmtId="0" fontId="28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7" borderId="0" applyNumberFormat="0" applyBorder="0" applyAlignment="0" applyProtection="0"/>
    <xf numFmtId="166" fontId="56" fillId="0" borderId="0">
      <alignment horizontal="left" wrapText="1"/>
    </xf>
    <xf numFmtId="0" fontId="28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28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66" fontId="56" fillId="0" borderId="0">
      <alignment horizontal="left" wrapText="1"/>
    </xf>
    <xf numFmtId="0" fontId="28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6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166" fontId="56" fillId="0" borderId="0">
      <alignment horizontal="left" wrapText="1"/>
    </xf>
    <xf numFmtId="0" fontId="28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6" fontId="56" fillId="0" borderId="0">
      <alignment horizontal="left" wrapText="1"/>
    </xf>
    <xf numFmtId="0" fontId="28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9" borderId="0" applyNumberFormat="0" applyBorder="0" applyAlignment="0" applyProtection="0"/>
    <xf numFmtId="0" fontId="5" fillId="34" borderId="0" applyNumberFormat="0" applyBorder="0" applyAlignment="0" applyProtection="0"/>
    <xf numFmtId="0" fontId="28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6" fontId="56" fillId="0" borderId="0">
      <alignment horizontal="left" wrapText="1"/>
    </xf>
    <xf numFmtId="0" fontId="28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56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8" fillId="10" borderId="0" applyNumberFormat="0" applyBorder="0" applyAlignment="0" applyProtection="0"/>
    <xf numFmtId="166" fontId="56" fillId="0" borderId="0">
      <alignment horizontal="left" wrapText="1"/>
    </xf>
    <xf numFmtId="0" fontId="28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28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6" fontId="56" fillId="0" borderId="0">
      <alignment horizontal="left" wrapText="1"/>
    </xf>
    <xf numFmtId="0" fontId="28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56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8" fillId="5" borderId="0" applyNumberFormat="0" applyBorder="0" applyAlignment="0" applyProtection="0"/>
    <xf numFmtId="166" fontId="56" fillId="0" borderId="0">
      <alignment horizontal="left" wrapText="1"/>
    </xf>
    <xf numFmtId="0" fontId="28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28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66" fontId="56" fillId="0" borderId="0">
      <alignment horizontal="left" wrapText="1"/>
    </xf>
    <xf numFmtId="0" fontId="28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6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166" fontId="56" fillId="0" borderId="0">
      <alignment horizontal="left" wrapText="1"/>
    </xf>
    <xf numFmtId="0" fontId="28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6" fontId="56" fillId="0" borderId="0">
      <alignment horizontal="left" wrapText="1"/>
    </xf>
    <xf numFmtId="0" fontId="28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1" borderId="0" applyNumberFormat="0" applyBorder="0" applyAlignment="0" applyProtection="0"/>
    <xf numFmtId="166" fontId="56" fillId="0" borderId="0">
      <alignment horizontal="left" wrapText="1"/>
    </xf>
    <xf numFmtId="0" fontId="28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28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6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29" fillId="6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6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6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1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29" fillId="1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1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1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11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29" fillId="1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1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1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3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29" fillId="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6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29" fillId="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29" fillId="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166" fontId="56" fillId="0" borderId="0">
      <alignment horizontal="left" wrapText="1"/>
    </xf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29" fillId="16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29" fillId="16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9" borderId="0" applyNumberFormat="0" applyBorder="0" applyAlignment="0" applyProtection="0"/>
    <xf numFmtId="166" fontId="56" fillId="0" borderId="0">
      <alignment horizontal="left" wrapText="1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9" fillId="17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9" fillId="17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11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11" borderId="0" applyNumberFormat="0" applyBorder="0" applyAlignment="0" applyProtection="0"/>
    <xf numFmtId="166" fontId="56" fillId="0" borderId="0">
      <alignment horizontal="left" wrapText="1"/>
    </xf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9" fillId="18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9" fillId="18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166" fontId="56" fillId="0" borderId="0">
      <alignment horizontal="left" wrapText="1"/>
    </xf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9" fillId="1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9" fillId="1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6" fontId="56" fillId="0" borderId="0">
      <alignment horizontal="left" wrapText="1"/>
    </xf>
    <xf numFmtId="0" fontId="29" fillId="14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6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17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17" borderId="0" applyNumberFormat="0" applyBorder="0" applyAlignment="0" applyProtection="0"/>
    <xf numFmtId="166" fontId="56" fillId="0" borderId="0">
      <alignment horizontal="left" wrapText="1"/>
    </xf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29" fillId="19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29" fillId="19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5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30" fillId="5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5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5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60" fillId="0" borderId="38"/>
    <xf numFmtId="176" fontId="63" fillId="0" borderId="0" applyFill="0" applyBorder="0" applyAlignment="0"/>
    <xf numFmtId="176" fontId="63" fillId="0" borderId="0" applyFill="0" applyBorder="0" applyAlignment="0"/>
    <xf numFmtId="166" fontId="56" fillId="0" borderId="0">
      <alignment horizontal="left" wrapText="1"/>
    </xf>
    <xf numFmtId="166" fontId="56" fillId="0" borderId="0">
      <alignment horizontal="left" wrapText="1"/>
    </xf>
    <xf numFmtId="176" fontId="63" fillId="0" borderId="0" applyFill="0" applyBorder="0" applyAlignment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0" fontId="31" fillId="20" borderId="1" applyNumberForma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20" borderId="1" applyNumberFormat="0" applyAlignment="0" applyProtection="0"/>
    <xf numFmtId="0" fontId="64" fillId="65" borderId="39" applyNumberFormat="0" applyAlignment="0" applyProtection="0"/>
    <xf numFmtId="0" fontId="65" fillId="66" borderId="39" applyNumberFormat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1" fontId="6" fillId="23" borderId="0"/>
    <xf numFmtId="166" fontId="56" fillId="0" borderId="0">
      <alignment horizontal="left" wrapText="1"/>
    </xf>
    <xf numFmtId="41" fontId="6" fillId="23" borderId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5" fillId="66" borderId="39" applyNumberFormat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41" fontId="6" fillId="23" borderId="0"/>
    <xf numFmtId="166" fontId="56" fillId="0" borderId="0">
      <alignment horizontal="left" wrapText="1"/>
    </xf>
    <xf numFmtId="41" fontId="6" fillId="23" borderId="0"/>
    <xf numFmtId="166" fontId="56" fillId="0" borderId="0">
      <alignment horizontal="left" wrapText="1"/>
    </xf>
    <xf numFmtId="41" fontId="6" fillId="23" borderId="0"/>
    <xf numFmtId="166" fontId="56" fillId="0" borderId="0">
      <alignment horizontal="left" wrapText="1"/>
    </xf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166" fontId="56" fillId="0" borderId="0">
      <alignment horizontal="left" wrapText="1"/>
    </xf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28" fillId="0" borderId="0"/>
    <xf numFmtId="41" fontId="6" fillId="23" borderId="0"/>
    <xf numFmtId="0" fontId="28" fillId="0" borderId="0"/>
    <xf numFmtId="0" fontId="65" fillId="66" borderId="39" applyNumberFormat="0" applyAlignment="0" applyProtection="0"/>
    <xf numFmtId="0" fontId="64" fillId="65" borderId="39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1" borderId="2" applyNumberFormat="0" applyAlignment="0" applyProtection="0"/>
    <xf numFmtId="166" fontId="56" fillId="0" borderId="0">
      <alignment horizontal="left" wrapText="1"/>
    </xf>
    <xf numFmtId="0" fontId="28" fillId="0" borderId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32" fillId="21" borderId="2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41" fontId="6" fillId="22" borderId="0"/>
    <xf numFmtId="41" fontId="6" fillId="22" borderId="0"/>
    <xf numFmtId="166" fontId="56" fillId="0" borderId="0">
      <alignment horizontal="left" wrapText="1"/>
    </xf>
    <xf numFmtId="41" fontId="6" fillId="22" borderId="0"/>
    <xf numFmtId="41" fontId="6" fillId="22" borderId="0"/>
    <xf numFmtId="166" fontId="56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7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8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28" fillId="0" borderId="0" applyFont="0" applyFill="0" applyBorder="0" applyAlignment="0" applyProtection="0"/>
    <xf numFmtId="166" fontId="56" fillId="0" borderId="0">
      <alignment horizontal="left" wrapText="1"/>
    </xf>
    <xf numFmtId="43" fontId="28" fillId="0" borderId="0" applyFont="0" applyFill="0" applyBorder="0" applyAlignment="0" applyProtection="0"/>
    <xf numFmtId="166" fontId="56" fillId="0" borderId="0">
      <alignment horizontal="left" wrapText="1"/>
    </xf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3" fontId="70" fillId="0" borderId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5" fillId="0" borderId="0" applyFont="0" applyFill="0" applyBorder="0" applyAlignment="0" applyProtection="0"/>
    <xf numFmtId="166" fontId="56" fillId="0" borderId="0">
      <alignment horizontal="left" wrapText="1"/>
    </xf>
    <xf numFmtId="3" fontId="70" fillId="0" borderId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180" fontId="77" fillId="0" borderId="0">
      <protection locked="0"/>
    </xf>
    <xf numFmtId="0" fontId="73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78" fillId="0" borderId="0" applyNumberFormat="0" applyAlignment="0">
      <alignment horizontal="left"/>
    </xf>
    <xf numFmtId="0" fontId="79" fillId="0" borderId="0" applyNumberFormat="0" applyAlignment="0"/>
    <xf numFmtId="0" fontId="79" fillId="0" borderId="0" applyNumberFormat="0" applyAlignment="0"/>
    <xf numFmtId="166" fontId="56" fillId="0" borderId="0">
      <alignment horizontal="left" wrapText="1"/>
    </xf>
    <xf numFmtId="166" fontId="56" fillId="0" borderId="0">
      <alignment horizontal="left" wrapText="1"/>
    </xf>
    <xf numFmtId="0" fontId="79" fillId="0" borderId="0" applyNumberFormat="0" applyAlignment="0"/>
    <xf numFmtId="0" fontId="71" fillId="0" borderId="0"/>
    <xf numFmtId="0" fontId="71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1" fillId="0" borderId="0"/>
    <xf numFmtId="0" fontId="71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0" fontId="28" fillId="0" borderId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8" fontId="7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6" fillId="0" borderId="0">
      <alignment horizontal="left" wrapText="1"/>
    </xf>
    <xf numFmtId="8" fontId="7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8" fontId="67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56" fillId="0" borderId="0">
      <alignment horizontal="left" wrapText="1"/>
    </xf>
    <xf numFmtId="181" fontId="6" fillId="0" borderId="0" applyFont="0" applyFill="0" applyBorder="0" applyAlignment="0" applyProtection="0"/>
    <xf numFmtId="166" fontId="56" fillId="0" borderId="0">
      <alignment horizontal="left" wrapText="1"/>
    </xf>
    <xf numFmtId="181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5" fontId="70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82" fontId="6" fillId="0" borderId="0" applyFont="0" applyFill="0" applyBorder="0" applyAlignment="0" applyProtection="0"/>
    <xf numFmtId="183" fontId="8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6" fillId="0" borderId="0">
      <alignment horizontal="left" wrapText="1"/>
    </xf>
    <xf numFmtId="5" fontId="70" fillId="0" borderId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183" fontId="70" fillId="0" borderId="0" applyFont="0" applyFill="0" applyBorder="0" applyAlignment="0" applyProtection="0"/>
    <xf numFmtId="5" fontId="70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82" fontId="6" fillId="0" borderId="0" applyFont="0" applyFill="0" applyBorder="0" applyAlignment="0" applyProtection="0"/>
    <xf numFmtId="184" fontId="70" fillId="0" borderId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166" fontId="56" fillId="0" borderId="0">
      <alignment horizontal="left" wrapText="1"/>
    </xf>
    <xf numFmtId="184" fontId="70" fillId="0" borderId="0" applyFill="0" applyBorder="0" applyAlignment="0" applyProtection="0"/>
    <xf numFmtId="0" fontId="7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70" fillId="0" borderId="0" applyFill="0" applyBorder="0" applyAlignment="0" applyProtection="0"/>
    <xf numFmtId="0" fontId="82" fillId="0" borderId="0" applyFont="0" applyFill="0" applyBorder="0" applyAlignment="0" applyProtection="0"/>
    <xf numFmtId="0" fontId="60" fillId="0" borderId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166" fontId="6" fillId="0" borderId="0"/>
    <xf numFmtId="166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/>
    <xf numFmtId="166" fontId="6" fillId="0" borderId="0"/>
    <xf numFmtId="166" fontId="56" fillId="0" borderId="0">
      <alignment horizontal="left" wrapText="1"/>
    </xf>
    <xf numFmtId="166" fontId="6" fillId="0" borderId="0"/>
    <xf numFmtId="166" fontId="56" fillId="0" borderId="0">
      <alignment horizontal="left" wrapText="1"/>
    </xf>
    <xf numFmtId="166" fontId="6" fillId="0" borderId="0"/>
    <xf numFmtId="166" fontId="56" fillId="0" borderId="0">
      <alignment horizontal="left" wrapText="1"/>
    </xf>
    <xf numFmtId="170" fontId="7" fillId="0" borderId="0"/>
    <xf numFmtId="166" fontId="56" fillId="0" borderId="0">
      <alignment horizontal="left" wrapText="1"/>
    </xf>
    <xf numFmtId="166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56" fillId="0" borderId="0">
      <alignment horizontal="left" wrapText="1"/>
    </xf>
    <xf numFmtId="0" fontId="28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70" fillId="0" borderId="0" applyFill="0" applyBorder="0" applyAlignment="0" applyProtection="0"/>
    <xf numFmtId="2" fontId="75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2" fontId="70" fillId="0" borderId="0" applyFont="0" applyFill="0" applyBorder="0" applyAlignment="0" applyProtection="0"/>
    <xf numFmtId="2" fontId="70" fillId="0" borderId="0" applyFont="0" applyFill="0" applyBorder="0" applyAlignment="0" applyProtection="0"/>
    <xf numFmtId="2" fontId="70" fillId="0" borderId="0" applyFill="0" applyBorder="0" applyAlignment="0" applyProtection="0"/>
    <xf numFmtId="2" fontId="75" fillId="0" borderId="0" applyFont="0" applyFill="0" applyBorder="0" applyAlignment="0" applyProtection="0"/>
    <xf numFmtId="0" fontId="71" fillId="0" borderId="0"/>
    <xf numFmtId="0" fontId="71" fillId="0" borderId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28" fillId="0" borderId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6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34" fillId="6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6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6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56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85" fillId="0" borderId="38"/>
    <xf numFmtId="186" fontId="86" fillId="0" borderId="0" applyNumberFormat="0" applyFill="0" applyBorder="0" applyProtection="0">
      <alignment horizontal="right"/>
    </xf>
    <xf numFmtId="0" fontId="27" fillId="0" borderId="29" applyNumberFormat="0" applyAlignment="0" applyProtection="0">
      <alignment horizontal="left"/>
    </xf>
    <xf numFmtId="0" fontId="27" fillId="0" borderId="29" applyNumberFormat="0" applyAlignment="0" applyProtection="0">
      <alignment horizontal="left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27" fillId="0" borderId="29" applyNumberFormat="0" applyAlignment="0" applyProtection="0">
      <alignment horizontal="left"/>
    </xf>
    <xf numFmtId="166" fontId="56" fillId="0" borderId="0">
      <alignment horizontal="left" wrapText="1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166" fontId="56" fillId="0" borderId="0">
      <alignment horizontal="left" wrapText="1"/>
    </xf>
    <xf numFmtId="14" fontId="11" fillId="72" borderId="34">
      <alignment horizontal="center" vertical="center" wrapText="1"/>
    </xf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75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88" fillId="0" borderId="42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9" fillId="0" borderId="0" applyNumberFormat="0" applyFill="0" applyBorder="0" applyAlignment="0" applyProtection="0"/>
    <xf numFmtId="166" fontId="56" fillId="0" borderId="0">
      <alignment horizontal="left" wrapText="1"/>
    </xf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9" fillId="0" borderId="0" applyNumberFormat="0" applyFill="0" applyBorder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0" fontId="87" fillId="0" borderId="41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75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2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56" fillId="0" borderId="0">
      <alignment horizontal="left" wrapText="1"/>
    </xf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1" fillId="0" borderId="43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28" fillId="0" borderId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166" fontId="5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166" fontId="5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40" fontId="25" fillId="0" borderId="0"/>
    <xf numFmtId="40" fontId="25" fillId="0" borderId="0"/>
    <xf numFmtId="4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5" fillId="0" borderId="0" applyNumberFormat="0" applyFill="0" applyBorder="0" applyAlignment="0" applyProtection="0">
      <alignment vertical="top"/>
      <protection locked="0"/>
    </xf>
    <xf numFmtId="166" fontId="56" fillId="0" borderId="0">
      <alignment horizontal="left" wrapText="1"/>
    </xf>
    <xf numFmtId="0" fontId="95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24" borderId="39" applyNumberFormat="0" applyAlignment="0" applyProtection="0"/>
    <xf numFmtId="0" fontId="38" fillId="7" borderId="1" applyNumberFormat="0" applyAlignment="0" applyProtection="0"/>
    <xf numFmtId="166" fontId="56" fillId="0" borderId="0">
      <alignment horizontal="left" wrapText="1"/>
    </xf>
    <xf numFmtId="0" fontId="38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24" borderId="39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38" fillId="7" borderId="1" applyNumberFormat="0" applyAlignment="0" applyProtection="0"/>
    <xf numFmtId="0" fontId="28" fillId="0" borderId="0"/>
    <xf numFmtId="0" fontId="38" fillId="7" borderId="1" applyNumberFormat="0" applyAlignment="0" applyProtection="0"/>
    <xf numFmtId="41" fontId="97" fillId="26" borderId="47">
      <alignment horizontal="left"/>
      <protection locked="0"/>
    </xf>
    <xf numFmtId="166" fontId="56" fillId="0" borderId="0">
      <alignment horizontal="left" wrapText="1"/>
    </xf>
    <xf numFmtId="41" fontId="97" fillId="26" borderId="47">
      <alignment horizontal="left"/>
      <protection locked="0"/>
    </xf>
    <xf numFmtId="10" fontId="97" fillId="26" borderId="47">
      <alignment horizontal="right"/>
      <protection locked="0"/>
    </xf>
    <xf numFmtId="166" fontId="56" fillId="0" borderId="0">
      <alignment horizontal="left" wrapText="1"/>
    </xf>
    <xf numFmtId="10" fontId="97" fillId="26" borderId="47">
      <alignment horizontal="right"/>
      <protection locked="0"/>
    </xf>
    <xf numFmtId="166" fontId="56" fillId="0" borderId="0">
      <alignment horizontal="left" wrapText="1"/>
    </xf>
    <xf numFmtId="41" fontId="97" fillId="26" borderId="47">
      <alignment horizontal="left"/>
      <protection locked="0"/>
    </xf>
    <xf numFmtId="0" fontId="85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56" fillId="0" borderId="0">
      <alignment horizontal="left" wrapText="1"/>
    </xf>
    <xf numFmtId="3" fontId="98" fillId="0" borderId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3" fontId="98" fillId="0" borderId="0" applyFill="0" applyBorder="0" applyAlignment="0" applyProtection="0"/>
    <xf numFmtId="3" fontId="98" fillId="0" borderId="0" applyFill="0" applyBorder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28" fillId="0" borderId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44" fillId="0" borderId="50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44" fillId="0" borderId="50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44" fillId="0" borderId="50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44" fillId="0" borderId="50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56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56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8" fillId="0" borderId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1" fillId="74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2" fillId="2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1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1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37" fontId="103" fillId="0" borderId="0"/>
    <xf numFmtId="37" fontId="103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37" fontId="103" fillId="0" borderId="0"/>
    <xf numFmtId="188" fontId="6" fillId="0" borderId="0"/>
    <xf numFmtId="188" fontId="6" fillId="0" borderId="0"/>
    <xf numFmtId="166" fontId="56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56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56" fillId="0" borderId="0">
      <alignment horizontal="left" wrapText="1"/>
    </xf>
    <xf numFmtId="188" fontId="6" fillId="0" borderId="0"/>
    <xf numFmtId="188" fontId="6" fillId="0" borderId="0"/>
    <xf numFmtId="189" fontId="56" fillId="0" borderId="0"/>
    <xf numFmtId="189" fontId="56" fillId="0" borderId="0"/>
    <xf numFmtId="0" fontId="104" fillId="0" borderId="0"/>
    <xf numFmtId="0" fontId="5" fillId="0" borderId="0"/>
    <xf numFmtId="171" fontId="9" fillId="0" borderId="0"/>
    <xf numFmtId="0" fontId="6" fillId="0" borderId="0"/>
    <xf numFmtId="0" fontId="104" fillId="0" borderId="0"/>
    <xf numFmtId="171" fontId="9" fillId="0" borderId="0"/>
    <xf numFmtId="19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89" fontId="56" fillId="0" borderId="0"/>
    <xf numFmtId="0" fontId="5" fillId="0" borderId="0"/>
    <xf numFmtId="0" fontId="104" fillId="0" borderId="0"/>
    <xf numFmtId="0" fontId="104" fillId="0" borderId="0"/>
    <xf numFmtId="191" fontId="6" fillId="0" borderId="0"/>
    <xf numFmtId="0" fontId="104" fillId="0" borderId="0"/>
    <xf numFmtId="192" fontId="6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04" fillId="0" borderId="0"/>
    <xf numFmtId="0" fontId="5" fillId="0" borderId="0"/>
    <xf numFmtId="0" fontId="104" fillId="0" borderId="0"/>
    <xf numFmtId="0" fontId="104" fillId="0" borderId="0"/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188" fontId="5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56" fillId="0" borderId="0">
      <alignment horizontal="left" wrapText="1"/>
    </xf>
    <xf numFmtId="0" fontId="10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8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56" fillId="0" borderId="0">
      <alignment horizontal="left" wrapText="1"/>
    </xf>
    <xf numFmtId="0" fontId="10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188" fontId="56" fillId="0" borderId="0">
      <alignment horizontal="left" wrapText="1"/>
    </xf>
    <xf numFmtId="0" fontId="104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188" fontId="56" fillId="0" borderId="0">
      <alignment horizontal="left" wrapText="1"/>
    </xf>
    <xf numFmtId="166" fontId="6" fillId="0" borderId="0">
      <alignment horizontal="left" wrapText="1"/>
    </xf>
    <xf numFmtId="188" fontId="56" fillId="0" borderId="0">
      <alignment horizontal="left" wrapText="1"/>
    </xf>
    <xf numFmtId="0" fontId="104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88" fontId="56" fillId="0" borderId="0">
      <alignment horizontal="left" wrapText="1"/>
    </xf>
    <xf numFmtId="188" fontId="56" fillId="0" borderId="0">
      <alignment horizontal="left" wrapText="1"/>
    </xf>
    <xf numFmtId="188" fontId="56" fillId="0" borderId="0">
      <alignment horizontal="left" wrapText="1"/>
    </xf>
    <xf numFmtId="0" fontId="104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188" fontId="5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5" fillId="0" borderId="0"/>
    <xf numFmtId="0" fontId="104" fillId="0" borderId="0"/>
    <xf numFmtId="0" fontId="104" fillId="0" borderId="0"/>
    <xf numFmtId="0" fontId="5" fillId="0" borderId="0"/>
    <xf numFmtId="0" fontId="6" fillId="0" borderId="0"/>
    <xf numFmtId="0" fontId="6" fillId="0" borderId="0"/>
    <xf numFmtId="0" fontId="52" fillId="0" borderId="0"/>
    <xf numFmtId="0" fontId="28" fillId="0" borderId="0"/>
    <xf numFmtId="0" fontId="28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04" fillId="0" borderId="0"/>
    <xf numFmtId="0" fontId="28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104" fillId="0" borderId="0"/>
    <xf numFmtId="0" fontId="28" fillId="0" borderId="0"/>
    <xf numFmtId="0" fontId="104" fillId="0" borderId="0"/>
    <xf numFmtId="0" fontId="104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0" fillId="0" borderId="0"/>
    <xf numFmtId="0" fontId="104" fillId="0" borderId="0"/>
    <xf numFmtId="166" fontId="56" fillId="0" borderId="0">
      <alignment horizontal="left" wrapText="1"/>
    </xf>
    <xf numFmtId="0" fontId="104" fillId="0" borderId="0"/>
    <xf numFmtId="0" fontId="28" fillId="0" borderId="0"/>
    <xf numFmtId="0" fontId="28" fillId="0" borderId="0"/>
    <xf numFmtId="0" fontId="20" fillId="0" borderId="0"/>
    <xf numFmtId="0" fontId="104" fillId="0" borderId="0"/>
    <xf numFmtId="0" fontId="28" fillId="0" borderId="0"/>
    <xf numFmtId="0" fontId="104" fillId="0" borderId="0"/>
    <xf numFmtId="0" fontId="104" fillId="0" borderId="0"/>
    <xf numFmtId="0" fontId="28" fillId="0" borderId="0"/>
    <xf numFmtId="0" fontId="20" fillId="0" borderId="0"/>
    <xf numFmtId="0" fontId="104" fillId="0" borderId="0"/>
    <xf numFmtId="0" fontId="28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56" fillId="0" borderId="0">
      <alignment horizontal="left" wrapText="1"/>
    </xf>
    <xf numFmtId="193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8" fillId="0" borderId="0"/>
    <xf numFmtId="0" fontId="104" fillId="0" borderId="0"/>
    <xf numFmtId="0" fontId="5" fillId="0" borderId="0"/>
    <xf numFmtId="0" fontId="104" fillId="0" borderId="0"/>
    <xf numFmtId="0" fontId="104" fillId="0" borderId="0"/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104" fillId="0" borderId="0"/>
    <xf numFmtId="0" fontId="6" fillId="0" borderId="0"/>
    <xf numFmtId="0" fontId="6" fillId="0" borderId="0"/>
    <xf numFmtId="0" fontId="56" fillId="0" borderId="0"/>
    <xf numFmtId="195" fontId="5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5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104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104" fillId="0" borderId="0"/>
    <xf numFmtId="168" fontId="6" fillId="0" borderId="0">
      <alignment horizontal="left" wrapText="1"/>
    </xf>
    <xf numFmtId="0" fontId="104" fillId="0" borderId="0"/>
    <xf numFmtId="0" fontId="28" fillId="0" borderId="0"/>
    <xf numFmtId="0" fontId="104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66" fontId="6" fillId="0" borderId="0">
      <alignment horizontal="left" wrapText="1"/>
    </xf>
    <xf numFmtId="0" fontId="80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39" fontId="45" fillId="0" borderId="0" applyNumberForma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39" fontId="45" fillId="0" borderId="0" applyNumberFormat="0" applyFill="0" applyBorder="0" applyAlignment="0" applyProtection="0"/>
    <xf numFmtId="166" fontId="5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56" fillId="0" borderId="0">
      <alignment horizontal="left" wrapText="1"/>
    </xf>
    <xf numFmtId="0" fontId="6" fillId="0" borderId="0"/>
    <xf numFmtId="0" fontId="20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5" fontId="56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0" fontId="20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52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166" fontId="56" fillId="0" borderId="0">
      <alignment horizontal="left" wrapText="1"/>
    </xf>
    <xf numFmtId="0" fontId="10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104" fillId="0" borderId="0"/>
    <xf numFmtId="0" fontId="104" fillId="0" borderId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104" fillId="0" borderId="0"/>
    <xf numFmtId="0" fontId="56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104" fillId="0" borderId="0"/>
    <xf numFmtId="0" fontId="104" fillId="0" borderId="0"/>
    <xf numFmtId="0" fontId="5" fillId="0" borderId="0"/>
    <xf numFmtId="166" fontId="56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41" fillId="20" borderId="11" applyNumberFormat="0" applyAlignment="0" applyProtection="0"/>
    <xf numFmtId="0" fontId="41" fillId="20" borderId="11" applyNumberForma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1" fillId="20" borderId="11" applyNumberFormat="0" applyAlignment="0" applyProtection="0"/>
    <xf numFmtId="0" fontId="104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104" fillId="0" borderId="0"/>
    <xf numFmtId="0" fontId="6" fillId="0" borderId="0"/>
    <xf numFmtId="0" fontId="6" fillId="0" borderId="0"/>
    <xf numFmtId="0" fontId="6" fillId="0" borderId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6" borderId="52" applyNumberFormat="0" applyAlignment="0" applyProtection="0"/>
    <xf numFmtId="166" fontId="56" fillId="0" borderId="0">
      <alignment horizontal="left" wrapText="1"/>
    </xf>
    <xf numFmtId="0" fontId="104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41" fillId="66" borderId="11" applyNumberFormat="0" applyAlignment="0" applyProtection="0"/>
    <xf numFmtId="0" fontId="104" fillId="0" borderId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6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6" borderId="52" applyNumberFormat="0" applyAlignment="0" applyProtection="0"/>
    <xf numFmtId="0" fontId="104" fillId="0" borderId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71" fillId="0" borderId="0"/>
    <xf numFmtId="0" fontId="71" fillId="0" borderId="0"/>
    <xf numFmtId="0" fontId="104" fillId="0" borderId="0"/>
    <xf numFmtId="0" fontId="5" fillId="0" borderId="0"/>
    <xf numFmtId="0" fontId="71" fillId="0" borderId="0"/>
    <xf numFmtId="0" fontId="72" fillId="0" borderId="0"/>
    <xf numFmtId="0" fontId="104" fillId="0" borderId="0"/>
    <xf numFmtId="0" fontId="72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0" fontId="104" fillId="0" borderId="0"/>
    <xf numFmtId="10" fontId="6" fillId="0" borderId="0" applyFont="0" applyFill="0" applyBorder="0" applyAlignment="0" applyProtection="0"/>
    <xf numFmtId="0" fontId="104" fillId="0" borderId="0"/>
    <xf numFmtId="0" fontId="5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81" fillId="0" borderId="0" applyFont="0" applyFill="0" applyBorder="0" applyAlignment="0" applyProtection="0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0" fontId="6" fillId="0" borderId="4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0" fontId="6" fillId="0" borderId="47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04" fillId="0" borderId="0"/>
    <xf numFmtId="9" fontId="6" fillId="0" borderId="0" applyFont="0" applyFill="0" applyBorder="0" applyAlignment="0" applyProtection="0"/>
    <xf numFmtId="0" fontId="5" fillId="0" borderId="0"/>
    <xf numFmtId="0" fontId="104" fillId="0" borderId="0"/>
    <xf numFmtId="9" fontId="6" fillId="0" borderId="0" applyFont="0" applyFill="0" applyBorder="0" applyAlignment="0" applyProtection="0"/>
    <xf numFmtId="0" fontId="104" fillId="0" borderId="0"/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0" fontId="104" fillId="0" borderId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47"/>
    <xf numFmtId="9" fontId="67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9" fontId="20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20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47"/>
    <xf numFmtId="10" fontId="6" fillId="0" borderId="47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0" fontId="104" fillId="0" borderId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4" fillId="0" borderId="0"/>
    <xf numFmtId="9" fontId="56" fillId="0" borderId="0" applyFont="0" applyFill="0" applyBorder="0" applyAlignment="0" applyProtection="0"/>
    <xf numFmtId="0" fontId="5" fillId="0" borderId="0"/>
    <xf numFmtId="0" fontId="104" fillId="0" borderId="0"/>
    <xf numFmtId="0" fontId="5" fillId="0" borderId="0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0" fontId="104" fillId="0" borderId="0"/>
    <xf numFmtId="9" fontId="6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0" fontId="10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6" fontId="56" fillId="0" borderId="0">
      <alignment horizontal="left" wrapText="1"/>
    </xf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6" fillId="0" borderId="0">
      <alignment horizontal="left" wrapText="1"/>
    </xf>
    <xf numFmtId="9" fontId="67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6" fillId="0" borderId="0">
      <alignment horizontal="left" wrapText="1"/>
    </xf>
    <xf numFmtId="0" fontId="104" fillId="0" borderId="0"/>
    <xf numFmtId="0" fontId="5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56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104" fillId="0" borderId="0"/>
    <xf numFmtId="0" fontId="5" fillId="0" borderId="0"/>
    <xf numFmtId="166" fontId="56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" fontId="20" fillId="0" borderId="0" applyFont="0" applyFill="0" applyBorder="0" applyAlignment="0" applyProtection="0"/>
    <xf numFmtId="0" fontId="46" fillId="0" borderId="34">
      <alignment horizontal="center"/>
    </xf>
    <xf numFmtId="0" fontId="46" fillId="0" borderId="34">
      <alignment horizontal="center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46" fillId="0" borderId="34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3" fontId="20" fillId="0" borderId="0" applyFont="0" applyFill="0" applyBorder="0" applyAlignment="0" applyProtection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20" fillId="77" borderId="0" applyNumberFormat="0" applyFont="0" applyBorder="0" applyAlignment="0" applyProtection="0"/>
    <xf numFmtId="0" fontId="73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3" fontId="106" fillId="0" borderId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0" fontId="104" fillId="0" borderId="0"/>
    <xf numFmtId="3" fontId="106" fillId="0" borderId="0" applyFill="0" applyBorder="0" applyAlignment="0" applyProtection="0"/>
    <xf numFmtId="0" fontId="104" fillId="0" borderId="0"/>
    <xf numFmtId="3" fontId="106" fillId="0" borderId="0" applyFill="0" applyBorder="0" applyAlignment="0" applyProtection="0"/>
    <xf numFmtId="0" fontId="104" fillId="0" borderId="0"/>
    <xf numFmtId="3" fontId="106" fillId="0" borderId="0" applyFill="0" applyBorder="0" applyAlignment="0" applyProtection="0"/>
    <xf numFmtId="0" fontId="104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42" fontId="6" fillId="23" borderId="0"/>
    <xf numFmtId="0" fontId="72" fillId="78" borderId="0"/>
    <xf numFmtId="0" fontId="109" fillId="78" borderId="48"/>
    <xf numFmtId="0" fontId="110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111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56" fillId="0" borderId="0">
      <alignment horizontal="left" wrapText="1"/>
    </xf>
    <xf numFmtId="0" fontId="5" fillId="0" borderId="0"/>
    <xf numFmtId="42" fontId="6" fillId="23" borderId="0"/>
    <xf numFmtId="166" fontId="56" fillId="0" borderId="0">
      <alignment horizontal="left" wrapText="1"/>
    </xf>
    <xf numFmtId="0" fontId="104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56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104" fillId="0" borderId="0"/>
    <xf numFmtId="0" fontId="11" fillId="23" borderId="20" applyNumberFormat="0">
      <alignment horizontal="center" vertical="center" wrapText="1"/>
    </xf>
    <xf numFmtId="166" fontId="56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23" borderId="0"/>
    <xf numFmtId="10" fontId="6" fillId="23" borderId="0"/>
    <xf numFmtId="166" fontId="56" fillId="0" borderId="0">
      <alignment horizontal="left" wrapText="1"/>
    </xf>
    <xf numFmtId="10" fontId="6" fillId="23" borderId="0"/>
    <xf numFmtId="166" fontId="56" fillId="0" borderId="0">
      <alignment horizontal="left" wrapText="1"/>
    </xf>
    <xf numFmtId="10" fontId="6" fillId="23" borderId="0"/>
    <xf numFmtId="166" fontId="56" fillId="0" borderId="0">
      <alignment horizontal="left" wrapText="1"/>
    </xf>
    <xf numFmtId="10" fontId="6" fillId="23" borderId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23" borderId="0"/>
    <xf numFmtId="0" fontId="104" fillId="0" borderId="0"/>
    <xf numFmtId="10" fontId="6" fillId="23" borderId="0"/>
    <xf numFmtId="0" fontId="104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56" fillId="0" borderId="0">
      <alignment horizontal="left" wrapText="1"/>
    </xf>
    <xf numFmtId="166" fontId="56" fillId="0" borderId="0">
      <alignment horizontal="left" wrapText="1"/>
    </xf>
    <xf numFmtId="198" fontId="6" fillId="23" borderId="0"/>
    <xf numFmtId="198" fontId="6" fillId="23" borderId="0"/>
    <xf numFmtId="166" fontId="56" fillId="0" borderId="0">
      <alignment horizontal="left" wrapText="1"/>
    </xf>
    <xf numFmtId="198" fontId="6" fillId="23" borderId="0"/>
    <xf numFmtId="166" fontId="56" fillId="0" borderId="0">
      <alignment horizontal="left" wrapText="1"/>
    </xf>
    <xf numFmtId="198" fontId="6" fillId="23" borderId="0"/>
    <xf numFmtId="166" fontId="56" fillId="0" borderId="0">
      <alignment horizontal="left" wrapText="1"/>
    </xf>
    <xf numFmtId="198" fontId="6" fillId="23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104" fillId="0" borderId="0"/>
    <xf numFmtId="0" fontId="5" fillId="0" borderId="0"/>
    <xf numFmtId="0" fontId="104" fillId="0" borderId="0"/>
    <xf numFmtId="0" fontId="5" fillId="0" borderId="0"/>
    <xf numFmtId="198" fontId="6" fillId="23" borderId="0"/>
    <xf numFmtId="42" fontId="6" fillId="23" borderId="0"/>
    <xf numFmtId="164" fontId="25" fillId="0" borderId="0" applyBorder="0" applyAlignment="0"/>
    <xf numFmtId="164" fontId="25" fillId="0" borderId="0" applyBorder="0" applyAlignment="0"/>
    <xf numFmtId="0" fontId="104" fillId="0" borderId="0"/>
    <xf numFmtId="164" fontId="25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56" fillId="0" borderId="0">
      <alignment horizontal="left" wrapText="1"/>
    </xf>
    <xf numFmtId="198" fontId="24" fillId="23" borderId="13">
      <alignment horizontal="left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4" fillId="23" borderId="13">
      <alignment horizontal="left"/>
    </xf>
    <xf numFmtId="0" fontId="104" fillId="0" borderId="0"/>
    <xf numFmtId="0" fontId="5" fillId="0" borderId="0"/>
    <xf numFmtId="164" fontId="25" fillId="0" borderId="0" applyBorder="0" applyAlignment="0"/>
    <xf numFmtId="14" fontId="56" fillId="0" borderId="0" applyNumberFormat="0" applyFill="0" applyBorder="0" applyAlignment="0" applyProtection="0">
      <alignment horizontal="left"/>
    </xf>
    <xf numFmtId="14" fontId="56" fillId="0" borderId="0" applyNumberFormat="0" applyFill="0" applyBorder="0" applyAlignment="0" applyProtection="0">
      <alignment horizontal="left"/>
    </xf>
    <xf numFmtId="0" fontId="104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0" fontId="104" fillId="0" borderId="0"/>
    <xf numFmtId="199" fontId="6" fillId="0" borderId="0" applyFont="0" applyFill="0" applyAlignment="0">
      <alignment horizontal="right"/>
    </xf>
    <xf numFmtId="0" fontId="104" fillId="0" borderId="0"/>
    <xf numFmtId="0" fontId="5" fillId="0" borderId="0"/>
    <xf numFmtId="4" fontId="112" fillId="26" borderId="11" applyNumberFormat="0" applyProtection="0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26" borderId="11" applyNumberFormat="0" applyProtection="0">
      <alignment vertical="center"/>
    </xf>
    <xf numFmtId="4" fontId="113" fillId="26" borderId="11" applyNumberFormat="0" applyProtection="0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3" fillId="26" borderId="11" applyNumberFormat="0" applyProtection="0">
      <alignment vertical="center"/>
    </xf>
    <xf numFmtId="4" fontId="112" fillId="26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12" fillId="82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2" borderId="11" applyNumberFormat="0" applyProtection="0">
      <alignment horizontal="right" vertical="center"/>
    </xf>
    <xf numFmtId="4" fontId="112" fillId="83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3" borderId="11" applyNumberFormat="0" applyProtection="0">
      <alignment horizontal="right" vertical="center"/>
    </xf>
    <xf numFmtId="4" fontId="112" fillId="84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4" borderId="11" applyNumberFormat="0" applyProtection="0">
      <alignment horizontal="right" vertical="center"/>
    </xf>
    <xf numFmtId="4" fontId="112" fillId="85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5" borderId="11" applyNumberFormat="0" applyProtection="0">
      <alignment horizontal="right" vertical="center"/>
    </xf>
    <xf numFmtId="4" fontId="112" fillId="86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6" borderId="11" applyNumberFormat="0" applyProtection="0">
      <alignment horizontal="right" vertical="center"/>
    </xf>
    <xf numFmtId="4" fontId="112" fillId="87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7" borderId="11" applyNumberFormat="0" applyProtection="0">
      <alignment horizontal="right" vertical="center"/>
    </xf>
    <xf numFmtId="4" fontId="112" fillId="88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8" borderId="11" applyNumberFormat="0" applyProtection="0">
      <alignment horizontal="right" vertical="center"/>
    </xf>
    <xf numFmtId="4" fontId="112" fillId="89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9" borderId="11" applyNumberFormat="0" applyProtection="0">
      <alignment horizontal="right" vertical="center"/>
    </xf>
    <xf numFmtId="4" fontId="112" fillId="90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0" borderId="11" applyNumberFormat="0" applyProtection="0">
      <alignment horizontal="right" vertical="center"/>
    </xf>
    <xf numFmtId="4" fontId="114" fillId="91" borderId="11" applyNumberFormat="0" applyProtection="0">
      <alignment horizontal="left" vertical="center" indent="1"/>
    </xf>
    <xf numFmtId="4" fontId="114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2" borderId="0" applyNumberFormat="0" applyProtection="0">
      <alignment horizontal="left" vertical="center" indent="1"/>
    </xf>
    <xf numFmtId="4" fontId="114" fillId="91" borderId="11" applyNumberFormat="0" applyProtection="0">
      <alignment horizontal="left" vertical="center" indent="1"/>
    </xf>
    <xf numFmtId="4" fontId="112" fillId="93" borderId="55" applyNumberFormat="0" applyProtection="0">
      <alignment horizontal="left" vertical="center" indent="1"/>
    </xf>
    <xf numFmtId="4" fontId="112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3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0" fontId="104" fillId="0" borderId="0"/>
    <xf numFmtId="4" fontId="115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6" fillId="0" borderId="0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6" fillId="0" borderId="0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59" borderId="56" applyBorder="0"/>
    <xf numFmtId="4" fontId="112" fillId="97" borderId="11" applyNumberFormat="0" applyProtection="0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7" borderId="11" applyNumberFormat="0" applyProtection="0">
      <alignment vertical="center"/>
    </xf>
    <xf numFmtId="4" fontId="113" fillId="97" borderId="11" applyNumberFormat="0" applyProtection="0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3" fillId="97" borderId="11" applyNumberFormat="0" applyProtection="0">
      <alignment vertical="center"/>
    </xf>
    <xf numFmtId="4" fontId="112" fillId="97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7" borderId="11" applyNumberFormat="0" applyProtection="0">
      <alignment horizontal="left" vertical="center" indent="1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3" borderId="11" applyNumberFormat="0" applyProtection="0">
      <alignment horizontal="right" vertical="center"/>
    </xf>
    <xf numFmtId="4" fontId="113" fillId="93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3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7" fillId="0" borderId="0"/>
    <xf numFmtId="0" fontId="117" fillId="0" borderId="0"/>
    <xf numFmtId="0" fontId="104" fillId="0" borderId="0"/>
    <xf numFmtId="0" fontId="118" fillId="0" borderId="0" applyNumberFormat="0" applyProtection="0">
      <alignment horizontal="left" indent="5"/>
    </xf>
    <xf numFmtId="0" fontId="8" fillId="98" borderId="6"/>
    <xf numFmtId="4" fontId="119" fillId="93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9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56" fillId="0" borderId="0">
      <alignment horizontal="left" wrapText="1"/>
    </xf>
    <xf numFmtId="166" fontId="56" fillId="0" borderId="0">
      <alignment horizontal="left" wrapText="1"/>
    </xf>
    <xf numFmtId="39" fontId="6" fillId="99" borderId="0"/>
    <xf numFmtId="39" fontId="6" fillId="99" borderId="0"/>
    <xf numFmtId="166" fontId="56" fillId="0" borderId="0">
      <alignment horizontal="left" wrapText="1"/>
    </xf>
    <xf numFmtId="39" fontId="6" fillId="99" borderId="0"/>
    <xf numFmtId="166" fontId="56" fillId="0" borderId="0">
      <alignment horizontal="left" wrapText="1"/>
    </xf>
    <xf numFmtId="39" fontId="6" fillId="99" borderId="0"/>
    <xf numFmtId="166" fontId="56" fillId="0" borderId="0">
      <alignment horizontal="left" wrapText="1"/>
    </xf>
    <xf numFmtId="39" fontId="6" fillId="99" borderId="0"/>
    <xf numFmtId="166" fontId="56" fillId="0" borderId="0">
      <alignment horizontal="left" wrapText="1"/>
    </xf>
    <xf numFmtId="166" fontId="56" fillId="0" borderId="0">
      <alignment horizontal="left" wrapText="1"/>
    </xf>
    <xf numFmtId="39" fontId="6" fillId="99" borderId="0"/>
    <xf numFmtId="0" fontId="104" fillId="0" borderId="0"/>
    <xf numFmtId="39" fontId="6" fillId="99" borderId="0"/>
    <xf numFmtId="0" fontId="104" fillId="0" borderId="0"/>
    <xf numFmtId="0" fontId="5" fillId="0" borderId="0"/>
    <xf numFmtId="39" fontId="6" fillId="99" borderId="0"/>
    <xf numFmtId="0" fontId="120" fillId="0" borderId="0" applyNumberFormat="0" applyFill="0" applyBorder="0" applyAlignment="0" applyProtection="0"/>
    <xf numFmtId="38" fontId="8" fillId="0" borderId="12"/>
    <xf numFmtId="38" fontId="8" fillId="0" borderId="12"/>
    <xf numFmtId="0" fontId="104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4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4" fillId="0" borderId="0"/>
    <xf numFmtId="38" fontId="8" fillId="0" borderId="12"/>
    <xf numFmtId="38" fontId="8" fillId="0" borderId="12"/>
    <xf numFmtId="38" fontId="8" fillId="0" borderId="12"/>
    <xf numFmtId="166" fontId="56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5" fillId="0" borderId="13"/>
    <xf numFmtId="38" fontId="25" fillId="0" borderId="13"/>
    <xf numFmtId="0" fontId="6" fillId="0" borderId="0"/>
    <xf numFmtId="0" fontId="6" fillId="0" borderId="0"/>
    <xf numFmtId="0" fontId="6" fillId="0" borderId="0"/>
    <xf numFmtId="38" fontId="25" fillId="0" borderId="13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39" fontId="56" fillId="100" borderId="0"/>
    <xf numFmtId="39" fontId="56" fillId="100" borderId="0"/>
    <xf numFmtId="0" fontId="104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104" fillId="0" borderId="0"/>
    <xf numFmtId="0" fontId="5" fillId="0" borderId="0"/>
    <xf numFmtId="0" fontId="10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104" fillId="0" borderId="0"/>
    <xf numFmtId="0" fontId="5" fillId="0" borderId="0"/>
    <xf numFmtId="166" fontId="6" fillId="0" borderId="0">
      <alignment horizontal="left" wrapText="1"/>
    </xf>
    <xf numFmtId="0" fontId="104" fillId="0" borderId="0"/>
    <xf numFmtId="173" fontId="6" fillId="0" borderId="0">
      <alignment horizontal="left" wrapText="1"/>
    </xf>
    <xf numFmtId="0" fontId="104" fillId="0" borderId="0"/>
    <xf numFmtId="0" fontId="104" fillId="0" borderId="0"/>
    <xf numFmtId="166" fontId="6" fillId="0" borderId="0">
      <alignment horizontal="left" wrapText="1"/>
    </xf>
    <xf numFmtId="0" fontId="104" fillId="0" borderId="0"/>
    <xf numFmtId="173" fontId="6" fillId="0" borderId="0">
      <alignment horizontal="left" wrapText="1"/>
    </xf>
    <xf numFmtId="0" fontId="104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104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104" fillId="0" borderId="0"/>
    <xf numFmtId="198" fontId="6" fillId="0" borderId="0">
      <alignment horizontal="left" wrapText="1"/>
    </xf>
    <xf numFmtId="0" fontId="104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104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104" fillId="0" borderId="0"/>
    <xf numFmtId="196" fontId="6" fillId="0" borderId="0">
      <alignment horizontal="left" wrapText="1"/>
    </xf>
    <xf numFmtId="0" fontId="104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56" fillId="0" borderId="0">
      <alignment horizontal="left" wrapText="1"/>
    </xf>
    <xf numFmtId="0" fontId="104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104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10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04" fillId="0" borderId="0"/>
    <xf numFmtId="194" fontId="6" fillId="0" borderId="0">
      <alignment horizontal="left" wrapText="1"/>
    </xf>
    <xf numFmtId="0" fontId="104" fillId="0" borderId="0"/>
    <xf numFmtId="0" fontId="104" fillId="0" borderId="0"/>
    <xf numFmtId="166" fontId="6" fillId="0" borderId="0">
      <alignment horizontal="left" wrapText="1"/>
    </xf>
    <xf numFmtId="0" fontId="5" fillId="0" borderId="0"/>
    <xf numFmtId="0" fontId="104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 applyNumberFormat="0" applyBorder="0" applyAlignment="0"/>
    <xf numFmtId="0" fontId="121" fillId="0" borderId="0" applyNumberFormat="0" applyBorder="0" applyAlignment="0"/>
    <xf numFmtId="0" fontId="114" fillId="0" borderId="0" applyNumberFormat="0" applyBorder="0" applyAlignment="0"/>
    <xf numFmtId="0" fontId="122" fillId="0" borderId="0"/>
    <xf numFmtId="0" fontId="85" fillId="0" borderId="54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104" fillId="0" borderId="0"/>
    <xf numFmtId="0" fontId="104" fillId="0" borderId="0"/>
    <xf numFmtId="0" fontId="104" fillId="0" borderId="0"/>
    <xf numFmtId="0" fontId="10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24" fillId="0" borderId="0"/>
    <xf numFmtId="0" fontId="6" fillId="0" borderId="0" applyNumberFormat="0" applyBorder="0" applyAlignment="0"/>
    <xf numFmtId="0" fontId="125" fillId="0" borderId="0" applyFill="0" applyBorder="0" applyProtection="0">
      <alignment horizontal="left" vertical="top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/>
    <xf numFmtId="0" fontId="104" fillId="0" borderId="0"/>
    <xf numFmtId="0" fontId="42" fillId="0" borderId="0" applyNumberFormat="0" applyFill="0" applyBorder="0" applyAlignment="0" applyProtection="0"/>
    <xf numFmtId="0" fontId="5" fillId="0" borderId="0"/>
    <xf numFmtId="0" fontId="104" fillId="0" borderId="0"/>
    <xf numFmtId="0" fontId="5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6" fontId="56" fillId="0" borderId="0">
      <alignment horizontal="left" wrapText="1"/>
    </xf>
    <xf numFmtId="0" fontId="104" fillId="0" borderId="0"/>
    <xf numFmtId="166" fontId="56" fillId="0" borderId="0">
      <alignment horizontal="left" wrapText="1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4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4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2" fillId="0" borderId="0"/>
    <xf numFmtId="0" fontId="109" fillId="78" borderId="0"/>
    <xf numFmtId="201" fontId="127" fillId="23" borderId="0">
      <alignment horizontal="left" vertical="center"/>
    </xf>
    <xf numFmtId="201" fontId="128" fillId="0" borderId="0">
      <alignment horizontal="left" vertical="center"/>
    </xf>
    <xf numFmtId="201" fontId="128" fillId="0" borderId="0">
      <alignment horizontal="left" vertical="center"/>
    </xf>
    <xf numFmtId="0" fontId="104" fillId="0" borderId="0"/>
    <xf numFmtId="0" fontId="5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104" fillId="0" borderId="0"/>
    <xf numFmtId="0" fontId="11" fillId="23" borderId="0">
      <alignment horizontal="left" wrapText="1"/>
    </xf>
    <xf numFmtId="166" fontId="56" fillId="0" borderId="0">
      <alignment horizontal="left" wrapText="1"/>
    </xf>
    <xf numFmtId="0" fontId="129" fillId="0" borderId="0">
      <alignment horizontal="left" vertical="center"/>
    </xf>
    <xf numFmtId="0" fontId="129" fillId="0" borderId="0">
      <alignment horizontal="left" vertical="center"/>
    </xf>
    <xf numFmtId="0" fontId="104" fillId="0" borderId="0"/>
    <xf numFmtId="0" fontId="5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75" fillId="0" borderId="58" applyNumberFormat="0" applyFon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14" applyNumberFormat="0" applyFill="0" applyAlignment="0" applyProtection="0"/>
    <xf numFmtId="0" fontId="104" fillId="0" borderId="0"/>
    <xf numFmtId="0" fontId="130" fillId="0" borderId="57" applyNumberFormat="0" applyFill="0" applyAlignment="0" applyProtection="0"/>
    <xf numFmtId="0" fontId="130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59" applyNumberFormat="0" applyFill="0" applyAlignment="0" applyProtection="0"/>
    <xf numFmtId="0" fontId="104" fillId="0" borderId="0"/>
    <xf numFmtId="0" fontId="5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41" fontId="11" fillId="23" borderId="0">
      <alignment horizontal="left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41" fontId="11" fillId="23" borderId="0">
      <alignment horizontal="left"/>
    </xf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9" applyNumberFormat="0" applyFill="0" applyAlignment="0" applyProtection="0"/>
    <xf numFmtId="0" fontId="130" fillId="0" borderId="57" applyNumberFormat="0" applyFill="0" applyAlignment="0" applyProtection="0"/>
    <xf numFmtId="0" fontId="73" fillId="0" borderId="60"/>
    <xf numFmtId="0" fontId="74" fillId="0" borderId="60"/>
    <xf numFmtId="0" fontId="74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60"/>
    <xf numFmtId="0" fontId="74" fillId="0" borderId="6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/>
    <xf numFmtId="0" fontId="104" fillId="0" borderId="0"/>
    <xf numFmtId="166" fontId="56" fillId="0" borderId="0">
      <alignment horizontal="left" wrapText="1"/>
    </xf>
    <xf numFmtId="0" fontId="5" fillId="0" borderId="0"/>
    <xf numFmtId="0" fontId="104" fillId="0" borderId="0"/>
    <xf numFmtId="0" fontId="5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" fillId="0" borderId="0"/>
    <xf numFmtId="0" fontId="5" fillId="0" borderId="0"/>
    <xf numFmtId="0" fontId="104" fillId="0" borderId="0"/>
    <xf numFmtId="0" fontId="5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165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104" fillId="27" borderId="0" applyNumberFormat="0" applyBorder="0" applyAlignment="0" applyProtection="0"/>
    <xf numFmtId="0" fontId="6" fillId="0" borderId="0"/>
    <xf numFmtId="0" fontId="104" fillId="27" borderId="0" applyNumberFormat="0" applyBorder="0" applyAlignment="0" applyProtection="0"/>
    <xf numFmtId="0" fontId="104" fillId="27" borderId="0" applyNumberFormat="0" applyBorder="0" applyAlignment="0" applyProtection="0"/>
    <xf numFmtId="0" fontId="4" fillId="27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28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8" fillId="2" borderId="0" applyNumberFormat="0" applyBorder="0" applyAlignment="0" applyProtection="0"/>
    <xf numFmtId="0" fontId="28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8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27" borderId="0" applyNumberFormat="0" applyBorder="0" applyAlignment="0" applyProtection="0"/>
    <xf numFmtId="0" fontId="28" fillId="0" borderId="0"/>
    <xf numFmtId="0" fontId="6" fillId="0" borderId="0"/>
    <xf numFmtId="0" fontId="4" fillId="2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27" borderId="0" applyNumberFormat="0" applyBorder="0" applyAlignment="0" applyProtection="0"/>
    <xf numFmtId="0" fontId="40" fillId="10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27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27" borderId="0" applyNumberFormat="0" applyBorder="0" applyAlignment="0" applyProtection="0"/>
    <xf numFmtId="0" fontId="6" fillId="0" borderId="0"/>
    <xf numFmtId="0" fontId="28" fillId="0" borderId="0"/>
    <xf numFmtId="0" fontId="104" fillId="27" borderId="0" applyNumberFormat="0" applyBorder="0" applyAlignment="0" applyProtection="0"/>
    <xf numFmtId="0" fontId="104" fillId="27" borderId="0" applyNumberFormat="0" applyBorder="0" applyAlignment="0" applyProtection="0"/>
    <xf numFmtId="0" fontId="4" fillId="27" borderId="0" applyNumberFormat="0" applyBorder="0" applyAlignment="0" applyProtection="0"/>
    <xf numFmtId="0" fontId="28" fillId="0" borderId="0"/>
    <xf numFmtId="0" fontId="104" fillId="27" borderId="0" applyNumberFormat="0" applyBorder="0" applyAlignment="0" applyProtection="0"/>
    <xf numFmtId="0" fontId="28" fillId="0" borderId="0"/>
    <xf numFmtId="0" fontId="6" fillId="0" borderId="0"/>
    <xf numFmtId="0" fontId="104" fillId="27" borderId="0" applyNumberFormat="0" applyBorder="0" applyAlignment="0" applyProtection="0"/>
    <xf numFmtId="0" fontId="28" fillId="0" borderId="0"/>
    <xf numFmtId="0" fontId="104" fillId="28" borderId="0" applyNumberFormat="0" applyBorder="0" applyAlignment="0" applyProtection="0"/>
    <xf numFmtId="0" fontId="6" fillId="0" borderId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8" fillId="3" borderId="0" applyNumberFormat="0" applyBorder="0" applyAlignment="0" applyProtection="0"/>
    <xf numFmtId="0" fontId="28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8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28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28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28" borderId="0" applyNumberFormat="0" applyBorder="0" applyAlignment="0" applyProtection="0"/>
    <xf numFmtId="0" fontId="6" fillId="0" borderId="0"/>
    <xf numFmtId="0" fontId="28" fillId="0" borderId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0" borderId="0"/>
    <xf numFmtId="0" fontId="104" fillId="28" borderId="0" applyNumberFormat="0" applyBorder="0" applyAlignment="0" applyProtection="0"/>
    <xf numFmtId="0" fontId="28" fillId="0" borderId="0"/>
    <xf numFmtId="0" fontId="6" fillId="0" borderId="0"/>
    <xf numFmtId="0" fontId="104" fillId="28" borderId="0" applyNumberFormat="0" applyBorder="0" applyAlignment="0" applyProtection="0"/>
    <xf numFmtId="0" fontId="28" fillId="0" borderId="0"/>
    <xf numFmtId="0" fontId="104" fillId="29" borderId="0" applyNumberFormat="0" applyBorder="0" applyAlignment="0" applyProtection="0"/>
    <xf numFmtId="0" fontId="6" fillId="0" borderId="0"/>
    <xf numFmtId="0" fontId="104" fillId="29" borderId="0" applyNumberFormat="0" applyBorder="0" applyAlignment="0" applyProtection="0"/>
    <xf numFmtId="0" fontId="10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4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29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29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29" borderId="0" applyNumberFormat="0" applyBorder="0" applyAlignment="0" applyProtection="0"/>
    <xf numFmtId="0" fontId="6" fillId="0" borderId="0"/>
    <xf numFmtId="0" fontId="28" fillId="0" borderId="0"/>
    <xf numFmtId="0" fontId="104" fillId="29" borderId="0" applyNumberFormat="0" applyBorder="0" applyAlignment="0" applyProtection="0"/>
    <xf numFmtId="0" fontId="10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0" borderId="0"/>
    <xf numFmtId="0" fontId="104" fillId="29" borderId="0" applyNumberFormat="0" applyBorder="0" applyAlignment="0" applyProtection="0"/>
    <xf numFmtId="0" fontId="28" fillId="0" borderId="0"/>
    <xf numFmtId="0" fontId="6" fillId="0" borderId="0"/>
    <xf numFmtId="0" fontId="104" fillId="29" borderId="0" applyNumberFormat="0" applyBorder="0" applyAlignment="0" applyProtection="0"/>
    <xf numFmtId="0" fontId="28" fillId="0" borderId="0"/>
    <xf numFmtId="0" fontId="104" fillId="30" borderId="0" applyNumberFormat="0" applyBorder="0" applyAlignment="0" applyProtection="0"/>
    <xf numFmtId="0" fontId="6" fillId="0" borderId="0"/>
    <xf numFmtId="0" fontId="104" fillId="30" borderId="0" applyNumberFormat="0" applyBorder="0" applyAlignment="0" applyProtection="0"/>
    <xf numFmtId="0" fontId="104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28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8" fillId="5" borderId="0" applyNumberFormat="0" applyBorder="0" applyAlignment="0" applyProtection="0"/>
    <xf numFmtId="0" fontId="28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8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0" borderId="0" applyNumberFormat="0" applyBorder="0" applyAlignment="0" applyProtection="0"/>
    <xf numFmtId="0" fontId="40" fillId="10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0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0" borderId="0" applyNumberFormat="0" applyBorder="0" applyAlignment="0" applyProtection="0"/>
    <xf numFmtId="0" fontId="6" fillId="0" borderId="0"/>
    <xf numFmtId="0" fontId="28" fillId="0" borderId="0"/>
    <xf numFmtId="0" fontId="104" fillId="30" borderId="0" applyNumberFormat="0" applyBorder="0" applyAlignment="0" applyProtection="0"/>
    <xf numFmtId="0" fontId="104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0" borderId="0"/>
    <xf numFmtId="0" fontId="104" fillId="30" borderId="0" applyNumberFormat="0" applyBorder="0" applyAlignment="0" applyProtection="0"/>
    <xf numFmtId="0" fontId="28" fillId="0" borderId="0"/>
    <xf numFmtId="0" fontId="6" fillId="0" borderId="0"/>
    <xf numFmtId="0" fontId="104" fillId="30" borderId="0" applyNumberFormat="0" applyBorder="0" applyAlignment="0" applyProtection="0"/>
    <xf numFmtId="0" fontId="28" fillId="0" borderId="0"/>
    <xf numFmtId="0" fontId="104" fillId="31" borderId="0" applyNumberFormat="0" applyBorder="0" applyAlignment="0" applyProtection="0"/>
    <xf numFmtId="0" fontId="104" fillId="31" borderId="0" applyNumberFormat="0" applyBorder="0" applyAlignment="0" applyProtection="0"/>
    <xf numFmtId="0" fontId="10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33" fillId="0" borderId="0"/>
    <xf numFmtId="0" fontId="134" fillId="3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8" fillId="6" borderId="0" applyNumberFormat="0" applyBorder="0" applyAlignment="0" applyProtection="0"/>
    <xf numFmtId="0" fontId="28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4" fillId="31" borderId="0" applyNumberFormat="0" applyBorder="0" applyAlignment="0" applyProtection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1" borderId="0" applyNumberFormat="0" applyBorder="0" applyAlignment="0" applyProtection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104" fillId="31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104" fillId="31" borderId="0" applyNumberFormat="0" applyBorder="0" applyAlignment="0" applyProtection="0"/>
    <xf numFmtId="0" fontId="104" fillId="31" borderId="0" applyNumberFormat="0" applyBorder="0" applyAlignment="0" applyProtection="0"/>
    <xf numFmtId="0" fontId="6" fillId="0" borderId="0"/>
    <xf numFmtId="0" fontId="28" fillId="0" borderId="0"/>
    <xf numFmtId="0" fontId="104" fillId="31" borderId="0" applyNumberFormat="0" applyBorder="0" applyAlignment="0" applyProtection="0"/>
    <xf numFmtId="0" fontId="28" fillId="0" borderId="0"/>
    <xf numFmtId="0" fontId="6" fillId="0" borderId="0"/>
    <xf numFmtId="0" fontId="104" fillId="31" borderId="0" applyNumberFormat="0" applyBorder="0" applyAlignment="0" applyProtection="0"/>
    <xf numFmtId="0" fontId="28" fillId="0" borderId="0"/>
    <xf numFmtId="0" fontId="104" fillId="32" borderId="0" applyNumberFormat="0" applyBorder="0" applyAlignment="0" applyProtection="0"/>
    <xf numFmtId="0" fontId="6" fillId="0" borderId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33" fillId="0" borderId="0"/>
    <xf numFmtId="0" fontId="134" fillId="3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7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7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2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2" borderId="0" applyNumberFormat="0" applyBorder="0" applyAlignment="0" applyProtection="0"/>
    <xf numFmtId="0" fontId="6" fillId="0" borderId="0"/>
    <xf numFmtId="0" fontId="28" fillId="0" borderId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/>
    <xf numFmtId="0" fontId="104" fillId="32" borderId="0" applyNumberFormat="0" applyBorder="0" applyAlignment="0" applyProtection="0"/>
    <xf numFmtId="0" fontId="28" fillId="0" borderId="0"/>
    <xf numFmtId="0" fontId="6" fillId="0" borderId="0"/>
    <xf numFmtId="0" fontId="104" fillId="32" borderId="0" applyNumberFormat="0" applyBorder="0" applyAlignment="0" applyProtection="0"/>
    <xf numFmtId="0" fontId="28" fillId="0" borderId="0"/>
    <xf numFmtId="0" fontId="104" fillId="33" borderId="0" applyNumberFormat="0" applyBorder="0" applyAlignment="0" applyProtection="0"/>
    <xf numFmtId="0" fontId="6" fillId="0" borderId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3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8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3" borderId="0" applyNumberFormat="0" applyBorder="0" applyAlignment="0" applyProtection="0"/>
    <xf numFmtId="0" fontId="40" fillId="10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3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3" borderId="0" applyNumberFormat="0" applyBorder="0" applyAlignment="0" applyProtection="0"/>
    <xf numFmtId="0" fontId="6" fillId="0" borderId="0"/>
    <xf numFmtId="0" fontId="28" fillId="0" borderId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4" fillId="33" borderId="0" applyNumberFormat="0" applyBorder="0" applyAlignment="0" applyProtection="0"/>
    <xf numFmtId="0" fontId="28" fillId="0" borderId="0"/>
    <xf numFmtId="0" fontId="104" fillId="33" borderId="0" applyNumberFormat="0" applyBorder="0" applyAlignment="0" applyProtection="0"/>
    <xf numFmtId="0" fontId="28" fillId="0" borderId="0"/>
    <xf numFmtId="0" fontId="6" fillId="0" borderId="0"/>
    <xf numFmtId="0" fontId="104" fillId="33" borderId="0" applyNumberFormat="0" applyBorder="0" applyAlignment="0" applyProtection="0"/>
    <xf numFmtId="0" fontId="28" fillId="0" borderId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33" fillId="0" borderId="0"/>
    <xf numFmtId="0" fontId="134" fillId="3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8" fillId="9" borderId="0" applyNumberFormat="0" applyBorder="0" applyAlignment="0" applyProtection="0"/>
    <xf numFmtId="0" fontId="28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4" fillId="34" borderId="0" applyNumberFormat="0" applyBorder="0" applyAlignment="0" applyProtection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4" borderId="0" applyNumberFormat="0" applyBorder="0" applyAlignment="0" applyProtection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104" fillId="34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6" fillId="0" borderId="0"/>
    <xf numFmtId="0" fontId="28" fillId="0" borderId="0"/>
    <xf numFmtId="0" fontId="104" fillId="34" borderId="0" applyNumberFormat="0" applyBorder="0" applyAlignment="0" applyProtection="0"/>
    <xf numFmtId="0" fontId="28" fillId="0" borderId="0"/>
    <xf numFmtId="0" fontId="6" fillId="0" borderId="0"/>
    <xf numFmtId="0" fontId="104" fillId="34" borderId="0" applyNumberFormat="0" applyBorder="0" applyAlignment="0" applyProtection="0"/>
    <xf numFmtId="0" fontId="28" fillId="0" borderId="0"/>
    <xf numFmtId="0" fontId="104" fillId="35" borderId="0" applyNumberFormat="0" applyBorder="0" applyAlignment="0" applyProtection="0"/>
    <xf numFmtId="0" fontId="6" fillId="0" borderId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0" borderId="0"/>
    <xf numFmtId="0" fontId="28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8" fillId="10" borderId="0" applyNumberFormat="0" applyBorder="0" applyAlignment="0" applyProtection="0"/>
    <xf numFmtId="0" fontId="28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8" fillId="10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8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5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5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5" borderId="0" applyNumberFormat="0" applyBorder="0" applyAlignment="0" applyProtection="0"/>
    <xf numFmtId="0" fontId="6" fillId="0" borderId="0"/>
    <xf numFmtId="0" fontId="28" fillId="0" borderId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104" fillId="35" borderId="0" applyNumberFormat="0" applyBorder="0" applyAlignment="0" applyProtection="0"/>
    <xf numFmtId="0" fontId="28" fillId="0" borderId="0"/>
    <xf numFmtId="0" fontId="6" fillId="0" borderId="0"/>
    <xf numFmtId="0" fontId="104" fillId="35" borderId="0" applyNumberFormat="0" applyBorder="0" applyAlignment="0" applyProtection="0"/>
    <xf numFmtId="0" fontId="28" fillId="0" borderId="0"/>
    <xf numFmtId="0" fontId="104" fillId="36" borderId="0" applyNumberFormat="0" applyBorder="0" applyAlignment="0" applyProtection="0"/>
    <xf numFmtId="0" fontId="6" fillId="0" borderId="0"/>
    <xf numFmtId="0" fontId="104" fillId="36" borderId="0" applyNumberFormat="0" applyBorder="0" applyAlignment="0" applyProtection="0"/>
    <xf numFmtId="0" fontId="10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28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8" fillId="5" borderId="0" applyNumberFormat="0" applyBorder="0" applyAlignment="0" applyProtection="0"/>
    <xf numFmtId="0" fontId="28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8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6" borderId="0" applyNumberFormat="0" applyBorder="0" applyAlignment="0" applyProtection="0"/>
    <xf numFmtId="0" fontId="40" fillId="10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6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6" borderId="0" applyNumberFormat="0" applyBorder="0" applyAlignment="0" applyProtection="0"/>
    <xf numFmtId="0" fontId="6" fillId="0" borderId="0"/>
    <xf numFmtId="0" fontId="28" fillId="0" borderId="0"/>
    <xf numFmtId="0" fontId="104" fillId="36" borderId="0" applyNumberFormat="0" applyBorder="0" applyAlignment="0" applyProtection="0"/>
    <xf numFmtId="0" fontId="10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0" borderId="0"/>
    <xf numFmtId="0" fontId="104" fillId="36" borderId="0" applyNumberFormat="0" applyBorder="0" applyAlignment="0" applyProtection="0"/>
    <xf numFmtId="0" fontId="28" fillId="0" borderId="0"/>
    <xf numFmtId="0" fontId="6" fillId="0" borderId="0"/>
    <xf numFmtId="0" fontId="104" fillId="36" borderId="0" applyNumberFormat="0" applyBorder="0" applyAlignment="0" applyProtection="0"/>
    <xf numFmtId="0" fontId="28" fillId="0" borderId="0"/>
    <xf numFmtId="0" fontId="104" fillId="37" borderId="0" applyNumberFormat="0" applyBorder="0" applyAlignment="0" applyProtection="0"/>
    <xf numFmtId="0" fontId="6" fillId="0" borderId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33" fillId="0" borderId="0"/>
    <xf numFmtId="0" fontId="134" fillId="3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7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8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7" borderId="0" applyNumberFormat="0" applyBorder="0" applyAlignment="0" applyProtection="0"/>
    <xf numFmtId="0" fontId="40" fillId="10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7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7" borderId="0" applyNumberFormat="0" applyBorder="0" applyAlignment="0" applyProtection="0"/>
    <xf numFmtId="0" fontId="6" fillId="0" borderId="0"/>
    <xf numFmtId="0" fontId="28" fillId="0" borderId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0" borderId="0"/>
    <xf numFmtId="0" fontId="104" fillId="37" borderId="0" applyNumberFormat="0" applyBorder="0" applyAlignment="0" applyProtection="0"/>
    <xf numFmtId="0" fontId="28" fillId="0" borderId="0"/>
    <xf numFmtId="0" fontId="6" fillId="0" borderId="0"/>
    <xf numFmtId="0" fontId="104" fillId="37" borderId="0" applyNumberFormat="0" applyBorder="0" applyAlignment="0" applyProtection="0"/>
    <xf numFmtId="0" fontId="28" fillId="0" borderId="0"/>
    <xf numFmtId="0" fontId="104" fillId="38" borderId="0" applyNumberFormat="0" applyBorder="0" applyAlignment="0" applyProtection="0"/>
    <xf numFmtId="0" fontId="6" fillId="0" borderId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8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11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8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8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8" borderId="0" applyNumberFormat="0" applyBorder="0" applyAlignment="0" applyProtection="0"/>
    <xf numFmtId="0" fontId="6" fillId="0" borderId="0"/>
    <xf numFmtId="0" fontId="28" fillId="0" borderId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0" borderId="0"/>
    <xf numFmtId="0" fontId="104" fillId="38" borderId="0" applyNumberFormat="0" applyBorder="0" applyAlignment="0" applyProtection="0"/>
    <xf numFmtId="0" fontId="28" fillId="0" borderId="0"/>
    <xf numFmtId="0" fontId="6" fillId="0" borderId="0"/>
    <xf numFmtId="0" fontId="104" fillId="38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2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0" borderId="0"/>
    <xf numFmtId="0" fontId="61" fillId="6" borderId="0" applyNumberFormat="0" applyBorder="0" applyAlignment="0" applyProtection="0"/>
    <xf numFmtId="0" fontId="28" fillId="0" borderId="0"/>
    <xf numFmtId="0" fontId="61" fillId="6" borderId="0" applyNumberFormat="0" applyBorder="0" applyAlignment="0" applyProtection="0"/>
    <xf numFmtId="0" fontId="28" fillId="0" borderId="0"/>
    <xf numFmtId="0" fontId="28" fillId="0" borderId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29" fillId="12" borderId="0" applyNumberFormat="0" applyBorder="0" applyAlignment="0" applyProtection="0"/>
    <xf numFmtId="0" fontId="28" fillId="10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3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3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3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9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61" fillId="19" borderId="0" applyNumberFormat="0" applyBorder="0" applyAlignment="0" applyProtection="0"/>
    <xf numFmtId="0" fontId="28" fillId="0" borderId="0"/>
    <xf numFmtId="0" fontId="61" fillId="19" borderId="0" applyNumberFormat="0" applyBorder="0" applyAlignment="0" applyProtection="0"/>
    <xf numFmtId="0" fontId="28" fillId="0" borderId="0"/>
    <xf numFmtId="0" fontId="28" fillId="0" borderId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29" fillId="9" borderId="0" applyNumberFormat="0" applyBorder="0" applyAlignment="0" applyProtection="0"/>
    <xf numFmtId="0" fontId="28" fillId="103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0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0" borderId="0"/>
    <xf numFmtId="0" fontId="61" fillId="11" borderId="0" applyNumberFormat="0" applyBorder="0" applyAlignment="0" applyProtection="0"/>
    <xf numFmtId="0" fontId="28" fillId="0" borderId="0"/>
    <xf numFmtId="0" fontId="61" fillId="11" borderId="0" applyNumberFormat="0" applyBorder="0" applyAlignment="0" applyProtection="0"/>
    <xf numFmtId="0" fontId="28" fillId="0" borderId="0"/>
    <xf numFmtId="0" fontId="28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9" fillId="10" borderId="0" applyNumberFormat="0" applyBorder="0" applyAlignment="0" applyProtection="0"/>
    <xf numFmtId="0" fontId="28" fillId="10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3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0" borderId="0"/>
    <xf numFmtId="0" fontId="61" fillId="3" borderId="0" applyNumberFormat="0" applyBorder="0" applyAlignment="0" applyProtection="0"/>
    <xf numFmtId="0" fontId="28" fillId="0" borderId="0"/>
    <xf numFmtId="0" fontId="61" fillId="3" borderId="0" applyNumberFormat="0" applyBorder="0" applyAlignment="0" applyProtection="0"/>
    <xf numFmtId="0" fontId="28" fillId="0" borderId="0"/>
    <xf numFmtId="0" fontId="28" fillId="0" borderId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29" fillId="13" borderId="0" applyNumberFormat="0" applyBorder="0" applyAlignment="0" applyProtection="0"/>
    <xf numFmtId="0" fontId="28" fillId="1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4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0" borderId="0"/>
    <xf numFmtId="0" fontId="61" fillId="6" borderId="0" applyNumberFormat="0" applyBorder="0" applyAlignment="0" applyProtection="0"/>
    <xf numFmtId="0" fontId="28" fillId="0" borderId="0"/>
    <xf numFmtId="0" fontId="61" fillId="6" borderId="0" applyNumberFormat="0" applyBorder="0" applyAlignment="0" applyProtection="0"/>
    <xf numFmtId="0" fontId="28" fillId="0" borderId="0"/>
    <xf numFmtId="0" fontId="28" fillId="0" borderId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29" fillId="14" borderId="0" applyNumberFormat="0" applyBorder="0" applyAlignment="0" applyProtection="0"/>
    <xf numFmtId="0" fontId="28" fillId="10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5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5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0" borderId="0"/>
    <xf numFmtId="0" fontId="61" fillId="9" borderId="0" applyNumberFormat="0" applyBorder="0" applyAlignment="0" applyProtection="0"/>
    <xf numFmtId="0" fontId="28" fillId="0" borderId="0"/>
    <xf numFmtId="0" fontId="61" fillId="9" borderId="0" applyNumberFormat="0" applyBorder="0" applyAlignment="0" applyProtection="0"/>
    <xf numFmtId="0" fontId="28" fillId="0" borderId="0"/>
    <xf numFmtId="0" fontId="28" fillId="0" borderId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1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4" borderId="0" applyNumberFormat="0" applyBorder="0" applyAlignment="0" applyProtection="0"/>
    <xf numFmtId="0" fontId="28" fillId="0" borderId="0"/>
    <xf numFmtId="0" fontId="6" fillId="0" borderId="0"/>
    <xf numFmtId="0" fontId="29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6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4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6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0" borderId="0"/>
    <xf numFmtId="0" fontId="61" fillId="49" borderId="0" applyNumberFormat="0" applyBorder="0" applyAlignment="0" applyProtection="0"/>
    <xf numFmtId="0" fontId="28" fillId="0" borderId="0"/>
    <xf numFmtId="0" fontId="61" fillId="49" borderId="0" applyNumberFormat="0" applyBorder="0" applyAlignment="0" applyProtection="0"/>
    <xf numFmtId="0" fontId="28" fillId="0" borderId="0"/>
    <xf numFmtId="0" fontId="28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29" fillId="16" borderId="0" applyNumberFormat="0" applyBorder="0" applyAlignment="0" applyProtection="0"/>
    <xf numFmtId="0" fontId="61" fillId="4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28" fillId="0" borderId="0"/>
    <xf numFmtId="0" fontId="61" fillId="48" borderId="0" applyNumberFormat="0" applyBorder="0" applyAlignment="0" applyProtection="0"/>
    <xf numFmtId="0" fontId="28" fillId="0" borderId="0"/>
    <xf numFmtId="0" fontId="6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8" borderId="0" applyNumberFormat="0" applyBorder="0" applyAlignment="0" applyProtection="0"/>
    <xf numFmtId="0" fontId="29" fillId="16" borderId="0" applyNumberFormat="0" applyBorder="0" applyAlignment="0" applyProtection="0"/>
    <xf numFmtId="0" fontId="6" fillId="0" borderId="0"/>
    <xf numFmtId="0" fontId="29" fillId="16" borderId="0" applyNumberFormat="0" applyBorder="0" applyAlignment="0" applyProtection="0"/>
    <xf numFmtId="0" fontId="6" fillId="0" borderId="0"/>
    <xf numFmtId="0" fontId="29" fillId="16" borderId="0" applyNumberFormat="0" applyBorder="0" applyAlignment="0" applyProtection="0"/>
    <xf numFmtId="0" fontId="6" fillId="0" borderId="0"/>
    <xf numFmtId="0" fontId="29" fillId="5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7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61" fillId="19" borderId="0" applyNumberFormat="0" applyBorder="0" applyAlignment="0" applyProtection="0"/>
    <xf numFmtId="0" fontId="28" fillId="0" borderId="0"/>
    <xf numFmtId="0" fontId="61" fillId="19" borderId="0" applyNumberFormat="0" applyBorder="0" applyAlignment="0" applyProtection="0"/>
    <xf numFmtId="0" fontId="28" fillId="0" borderId="0"/>
    <xf numFmtId="0" fontId="28" fillId="0" borderId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29" fillId="17" borderId="0" applyNumberFormat="0" applyBorder="0" applyAlignment="0" applyProtection="0"/>
    <xf numFmtId="0" fontId="61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28" fillId="0" borderId="0"/>
    <xf numFmtId="0" fontId="61" fillId="53" borderId="0" applyNumberFormat="0" applyBorder="0" applyAlignment="0" applyProtection="0"/>
    <xf numFmtId="0" fontId="28" fillId="0" borderId="0"/>
    <xf numFmtId="0" fontId="6" fillId="0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53" borderId="0" applyNumberFormat="0" applyBorder="0" applyAlignment="0" applyProtection="0"/>
    <xf numFmtId="0" fontId="29" fillId="17" borderId="0" applyNumberFormat="0" applyBorder="0" applyAlignment="0" applyProtection="0"/>
    <xf numFmtId="0" fontId="6" fillId="0" borderId="0"/>
    <xf numFmtId="0" fontId="29" fillId="17" borderId="0" applyNumberFormat="0" applyBorder="0" applyAlignment="0" applyProtection="0"/>
    <xf numFmtId="0" fontId="6" fillId="0" borderId="0"/>
    <xf numFmtId="0" fontId="29" fillId="17" borderId="0" applyNumberFormat="0" applyBorder="0" applyAlignment="0" applyProtection="0"/>
    <xf numFmtId="0" fontId="6" fillId="0" borderId="0"/>
    <xf numFmtId="0" fontId="29" fillId="5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8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8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0" borderId="0"/>
    <xf numFmtId="0" fontId="61" fillId="11" borderId="0" applyNumberFormat="0" applyBorder="0" applyAlignment="0" applyProtection="0"/>
    <xf numFmtId="0" fontId="28" fillId="0" borderId="0"/>
    <xf numFmtId="0" fontId="61" fillId="11" borderId="0" applyNumberFormat="0" applyBorder="0" applyAlignment="0" applyProtection="0"/>
    <xf numFmtId="0" fontId="28" fillId="0" borderId="0"/>
    <xf numFmtId="0" fontId="28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9" fillId="18" borderId="0" applyNumberFormat="0" applyBorder="0" applyAlignment="0" applyProtection="0"/>
    <xf numFmtId="0" fontId="61" fillId="1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8" fillId="0" borderId="0"/>
    <xf numFmtId="0" fontId="61" fillId="57" borderId="0" applyNumberFormat="0" applyBorder="0" applyAlignment="0" applyProtection="0"/>
    <xf numFmtId="0" fontId="28" fillId="0" borderId="0"/>
    <xf numFmtId="0" fontId="6" fillId="0" borderId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57" borderId="0" applyNumberFormat="0" applyBorder="0" applyAlignment="0" applyProtection="0"/>
    <xf numFmtId="0" fontId="29" fillId="18" borderId="0" applyNumberFormat="0" applyBorder="0" applyAlignment="0" applyProtection="0"/>
    <xf numFmtId="0" fontId="6" fillId="0" borderId="0"/>
    <xf numFmtId="0" fontId="29" fillId="18" borderId="0" applyNumberFormat="0" applyBorder="0" applyAlignment="0" applyProtection="0"/>
    <xf numFmtId="0" fontId="6" fillId="0" borderId="0"/>
    <xf numFmtId="0" fontId="29" fillId="18" borderId="0" applyNumberFormat="0" applyBorder="0" applyAlignment="0" applyProtection="0"/>
    <xf numFmtId="0" fontId="6" fillId="0" borderId="0"/>
    <xf numFmtId="0" fontId="29" fillId="5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3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59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8" fillId="0" borderId="0"/>
    <xf numFmtId="0" fontId="61" fillId="59" borderId="0" applyNumberFormat="0" applyBorder="0" applyAlignment="0" applyProtection="0"/>
    <xf numFmtId="0" fontId="28" fillId="0" borderId="0"/>
    <xf numFmtId="0" fontId="61" fillId="59" borderId="0" applyNumberFormat="0" applyBorder="0" applyAlignment="0" applyProtection="0"/>
    <xf numFmtId="0" fontId="28" fillId="0" borderId="0"/>
    <xf numFmtId="0" fontId="28" fillId="0" borderId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29" fillId="13" borderId="0" applyNumberFormat="0" applyBorder="0" applyAlignment="0" applyProtection="0"/>
    <xf numFmtId="0" fontId="61" fillId="5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28" fillId="0" borderId="0"/>
    <xf numFmtId="0" fontId="61" fillId="58" borderId="0" applyNumberFormat="0" applyBorder="0" applyAlignment="0" applyProtection="0"/>
    <xf numFmtId="0" fontId="28" fillId="0" borderId="0"/>
    <xf numFmtId="0" fontId="6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58" borderId="0" applyNumberFormat="0" applyBorder="0" applyAlignment="0" applyProtection="0"/>
    <xf numFmtId="0" fontId="29" fillId="13" borderId="0" applyNumberFormat="0" applyBorder="0" applyAlignment="0" applyProtection="0"/>
    <xf numFmtId="0" fontId="6" fillId="0" borderId="0"/>
    <xf numFmtId="0" fontId="29" fillId="13" borderId="0" applyNumberFormat="0" applyBorder="0" applyAlignment="0" applyProtection="0"/>
    <xf numFmtId="0" fontId="6" fillId="0" borderId="0"/>
    <xf numFmtId="0" fontId="29" fillId="13" borderId="0" applyNumberFormat="0" applyBorder="0" applyAlignment="0" applyProtection="0"/>
    <xf numFmtId="0" fontId="6" fillId="0" borderId="0"/>
    <xf numFmtId="0" fontId="29" fillId="46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4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60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1" fillId="60" borderId="0" applyNumberFormat="0" applyBorder="0" applyAlignment="0" applyProtection="0"/>
    <xf numFmtId="0" fontId="28" fillId="0" borderId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8" fillId="0" borderId="0"/>
    <xf numFmtId="0" fontId="29" fillId="14" borderId="0" applyNumberFormat="0" applyBorder="0" applyAlignment="0" applyProtection="0"/>
    <xf numFmtId="0" fontId="61" fillId="6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60" borderId="0" applyNumberFormat="0" applyBorder="0" applyAlignment="0" applyProtection="0"/>
    <xf numFmtId="0" fontId="28" fillId="0" borderId="0"/>
    <xf numFmtId="0" fontId="61" fillId="6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60" borderId="0" applyNumberFormat="0" applyBorder="0" applyAlignment="0" applyProtection="0"/>
    <xf numFmtId="0" fontId="61" fillId="60" borderId="0" applyNumberFormat="0" applyBorder="0" applyAlignment="0" applyProtection="0"/>
    <xf numFmtId="0" fontId="6" fillId="0" borderId="0"/>
    <xf numFmtId="0" fontId="61" fillId="60" borderId="0" applyNumberFormat="0" applyBorder="0" applyAlignment="0" applyProtection="0"/>
    <xf numFmtId="0" fontId="6" fillId="0" borderId="0"/>
    <xf numFmtId="0" fontId="61" fillId="60" borderId="0" applyNumberFormat="0" applyBorder="0" applyAlignment="0" applyProtection="0"/>
    <xf numFmtId="0" fontId="29" fillId="6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9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0" borderId="0"/>
    <xf numFmtId="0" fontId="61" fillId="17" borderId="0" applyNumberFormat="0" applyBorder="0" applyAlignment="0" applyProtection="0"/>
    <xf numFmtId="0" fontId="28" fillId="0" borderId="0"/>
    <xf numFmtId="0" fontId="61" fillId="17" borderId="0" applyNumberFormat="0" applyBorder="0" applyAlignment="0" applyProtection="0"/>
    <xf numFmtId="0" fontId="28" fillId="0" borderId="0"/>
    <xf numFmtId="0" fontId="28" fillId="0" borderId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29" fillId="19" borderId="0" applyNumberFormat="0" applyBorder="0" applyAlignment="0" applyProtection="0"/>
    <xf numFmtId="0" fontId="61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28" fillId="0" borderId="0"/>
    <xf numFmtId="0" fontId="61" fillId="63" borderId="0" applyNumberFormat="0" applyBorder="0" applyAlignment="0" applyProtection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63" borderId="0" applyNumberFormat="0" applyBorder="0" applyAlignment="0" applyProtection="0"/>
    <xf numFmtId="0" fontId="29" fillId="19" borderId="0" applyNumberFormat="0" applyBorder="0" applyAlignment="0" applyProtection="0"/>
    <xf numFmtId="0" fontId="6" fillId="0" borderId="0"/>
    <xf numFmtId="0" fontId="29" fillId="19" borderId="0" applyNumberFormat="0" applyBorder="0" applyAlignment="0" applyProtection="0"/>
    <xf numFmtId="0" fontId="6" fillId="0" borderId="0"/>
    <xf numFmtId="0" fontId="29" fillId="19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0" fillId="3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2" fillId="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0" fillId="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8" fillId="0" borderId="0"/>
    <xf numFmtId="0" fontId="62" fillId="5" borderId="0" applyNumberFormat="0" applyBorder="0" applyAlignment="0" applyProtection="0"/>
    <xf numFmtId="0" fontId="28" fillId="0" borderId="0"/>
    <xf numFmtId="0" fontId="62" fillId="5" borderId="0" applyNumberFormat="0" applyBorder="0" applyAlignment="0" applyProtection="0"/>
    <xf numFmtId="0" fontId="28" fillId="0" borderId="0"/>
    <xf numFmtId="0" fontId="28" fillId="0" borderId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30" fillId="3" borderId="0" applyNumberFormat="0" applyBorder="0" applyAlignment="0" applyProtection="0"/>
    <xf numFmtId="0" fontId="136" fillId="59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2" fillId="6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2" fillId="6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7" fillId="64" borderId="0" applyNumberFormat="0" applyBorder="0" applyAlignment="0" applyProtection="0"/>
    <xf numFmtId="0" fontId="28" fillId="0" borderId="0"/>
    <xf numFmtId="0" fontId="6" fillId="0" borderId="0"/>
    <xf numFmtId="1" fontId="138" fillId="105" borderId="17" applyNumberFormat="0" applyBorder="0" applyAlignment="0">
      <alignment horizontal="center" vertical="top" wrapText="1"/>
      <protection hidden="1"/>
    </xf>
    <xf numFmtId="0" fontId="58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39" fillId="0" borderId="61">
      <alignment horizontal="left" vertical="center"/>
    </xf>
    <xf numFmtId="202" fontId="140" fillId="0" borderId="0">
      <alignment horizontal="right" vertical="center"/>
    </xf>
    <xf numFmtId="203" fontId="8" fillId="0" borderId="0">
      <alignment horizontal="right" vertical="center"/>
    </xf>
    <xf numFmtId="203" fontId="139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176" fontId="63" fillId="0" borderId="0" applyFill="0" applyBorder="0" applyAlignment="0"/>
    <xf numFmtId="0" fontId="28" fillId="0" borderId="0"/>
    <xf numFmtId="0" fontId="28" fillId="0" borderId="0"/>
    <xf numFmtId="0" fontId="6" fillId="0" borderId="0"/>
    <xf numFmtId="0" fontId="63" fillId="0" borderId="0" applyFill="0" applyBorder="0" applyAlignment="0"/>
    <xf numFmtId="0" fontId="28" fillId="0" borderId="0"/>
    <xf numFmtId="0" fontId="6" fillId="0" borderId="0"/>
    <xf numFmtId="176" fontId="63" fillId="0" borderId="0" applyFill="0" applyBorder="0" applyAlignment="0"/>
    <xf numFmtId="0" fontId="28" fillId="0" borderId="0"/>
    <xf numFmtId="176" fontId="63" fillId="0" borderId="0" applyFill="0" applyBorder="0" applyAlignment="0"/>
    <xf numFmtId="0" fontId="28" fillId="0" borderId="0"/>
    <xf numFmtId="0" fontId="28" fillId="0" borderId="0"/>
    <xf numFmtId="0" fontId="28" fillId="0" borderId="0"/>
    <xf numFmtId="176" fontId="63" fillId="0" borderId="0" applyFill="0" applyBorder="0" applyAlignment="0"/>
    <xf numFmtId="0" fontId="28" fillId="0" borderId="0"/>
    <xf numFmtId="41" fontId="6" fillId="23" borderId="0"/>
    <xf numFmtId="0" fontId="28" fillId="0" borderId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6" fillId="0" borderId="0"/>
    <xf numFmtId="41" fontId="6" fillId="23" borderId="0"/>
    <xf numFmtId="0" fontId="28" fillId="0" borderId="0"/>
    <xf numFmtId="0" fontId="31" fillId="20" borderId="1" applyNumberFormat="0" applyAlignment="0" applyProtection="0"/>
    <xf numFmtId="0" fontId="65" fillId="66" borderId="39" applyNumberFormat="0" applyAlignment="0" applyProtection="0"/>
    <xf numFmtId="0" fontId="28" fillId="0" borderId="0"/>
    <xf numFmtId="0" fontId="133" fillId="0" borderId="0"/>
    <xf numFmtId="0" fontId="6" fillId="0" borderId="0"/>
    <xf numFmtId="0" fontId="65" fillId="66" borderId="39" applyNumberFormat="0" applyAlignment="0" applyProtection="0"/>
    <xf numFmtId="0" fontId="65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8" fillId="0" borderId="0"/>
    <xf numFmtId="0" fontId="28" fillId="0" borderId="0"/>
    <xf numFmtId="0" fontId="64" fillId="65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4" fillId="65" borderId="39" applyNumberFormat="0" applyAlignment="0" applyProtection="0"/>
    <xf numFmtId="41" fontId="6" fillId="23" borderId="0"/>
    <xf numFmtId="0" fontId="28" fillId="0" borderId="0"/>
    <xf numFmtId="0" fontId="65" fillId="66" borderId="39" applyNumberFormat="0" applyAlignment="0" applyProtection="0"/>
    <xf numFmtId="0" fontId="31" fillId="20" borderId="1" applyNumberFormat="0" applyAlignment="0" applyProtection="0"/>
    <xf numFmtId="0" fontId="6" fillId="0" borderId="0"/>
    <xf numFmtId="0" fontId="65" fillId="66" borderId="39" applyNumberFormat="0" applyAlignment="0" applyProtection="0"/>
    <xf numFmtId="0" fontId="65" fillId="66" borderId="39" applyNumberFormat="0" applyAlignment="0" applyProtection="0"/>
    <xf numFmtId="0" fontId="28" fillId="0" borderId="0"/>
    <xf numFmtId="0" fontId="28" fillId="0" borderId="0"/>
    <xf numFmtId="0" fontId="141" fillId="66" borderId="1" applyNumberFormat="0" applyAlignment="0" applyProtection="0"/>
    <xf numFmtId="0" fontId="65" fillId="66" borderId="39" applyNumberFormat="0" applyAlignment="0" applyProtection="0"/>
    <xf numFmtId="0" fontId="28" fillId="0" borderId="0"/>
    <xf numFmtId="0" fontId="133" fillId="0" borderId="0"/>
    <xf numFmtId="0" fontId="64" fillId="65" borderId="39" applyNumberFormat="0" applyAlignment="0" applyProtection="0"/>
    <xf numFmtId="0" fontId="28" fillId="0" borderId="0"/>
    <xf numFmtId="0" fontId="64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8" fillId="0" borderId="0"/>
    <xf numFmtId="41" fontId="6" fillId="23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3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4" fillId="65" borderId="39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1" fontId="6" fillId="23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32" fillId="21" borderId="2" applyNumberFormat="0" applyAlignment="0" applyProtection="0"/>
    <xf numFmtId="0" fontId="32" fillId="21" borderId="2" applyNumberFormat="0" applyAlignment="0" applyProtection="0"/>
    <xf numFmtId="0" fontId="28" fillId="0" borderId="0"/>
    <xf numFmtId="0" fontId="6" fillId="0" borderId="0"/>
    <xf numFmtId="0" fontId="28" fillId="0" borderId="0"/>
    <xf numFmtId="0" fontId="32" fillId="21" borderId="2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6" fillId="67" borderId="40" applyNumberFormat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32" fillId="21" borderId="2" applyNumberFormat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6" fillId="67" borderId="40" applyNumberFormat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21" borderId="2" applyNumberFormat="0" applyAlignment="0" applyProtection="0"/>
    <xf numFmtId="0" fontId="32" fillId="21" borderId="2" applyNumberFormat="0" applyAlignment="0" applyProtection="0"/>
    <xf numFmtId="0" fontId="43" fillId="16" borderId="62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142" fillId="67" borderId="40" applyNumberFormat="0" applyAlignment="0" applyProtection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" fontId="143" fillId="0" borderId="63">
      <alignment vertical="top"/>
    </xf>
    <xf numFmtId="205" fontId="25" fillId="0" borderId="0" applyBorder="0">
      <alignment horizontal="right"/>
    </xf>
    <xf numFmtId="205" fontId="25" fillId="0" borderId="34" applyAlignment="0">
      <alignment horizontal="right"/>
    </xf>
    <xf numFmtId="206" fontId="144" fillId="0" borderId="0"/>
    <xf numFmtId="206" fontId="144" fillId="0" borderId="0"/>
    <xf numFmtId="206" fontId="144" fillId="0" borderId="0"/>
    <xf numFmtId="206" fontId="144" fillId="0" borderId="0"/>
    <xf numFmtId="206" fontId="144" fillId="0" borderId="0"/>
    <xf numFmtId="206" fontId="144" fillId="0" borderId="0"/>
    <xf numFmtId="206" fontId="144" fillId="0" borderId="0"/>
    <xf numFmtId="206" fontId="144" fillId="0" borderId="0"/>
    <xf numFmtId="41" fontId="6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43" fontId="145" fillId="0" borderId="0" applyFont="0" applyFill="0" applyBorder="0" applyAlignment="0" applyProtection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3" fontId="28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14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8" fillId="0" borderId="0"/>
    <xf numFmtId="0" fontId="6" fillId="0" borderId="0"/>
    <xf numFmtId="43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14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78" fontId="6" fillId="0" borderId="0" applyFont="0" applyFill="0" applyBorder="0" applyAlignment="0" applyProtection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" fontId="6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179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179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43" fontId="20" fillId="0" borderId="0" applyFont="0" applyFill="0" applyBorder="0" applyAlignment="0" applyProtection="0"/>
    <xf numFmtId="0" fontId="28" fillId="0" borderId="0"/>
    <xf numFmtId="43" fontId="14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14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14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104" fillId="0" borderId="0" applyFont="0" applyFill="0" applyBorder="0" applyAlignment="0" applyProtection="0"/>
    <xf numFmtId="0" fontId="28" fillId="0" borderId="0"/>
    <xf numFmtId="43" fontId="104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8" fillId="0" borderId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74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" fontId="75" fillId="0" borderId="0" applyFont="0" applyFill="0" applyBorder="0" applyAlignment="0" applyProtection="0"/>
    <xf numFmtId="0" fontId="6" fillId="0" borderId="0"/>
    <xf numFmtId="0" fontId="6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74" fillId="0" borderId="0"/>
    <xf numFmtId="0" fontId="148" fillId="0" borderId="0"/>
    <xf numFmtId="0" fontId="78" fillId="0" borderId="0" applyNumberFormat="0" applyAlignment="0">
      <alignment horizontal="left"/>
    </xf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78" fillId="0" borderId="0" applyNumberFormat="0" applyAlignment="0">
      <alignment horizontal="left"/>
    </xf>
    <xf numFmtId="0" fontId="28" fillId="0" borderId="0"/>
    <xf numFmtId="0" fontId="78" fillId="0" borderId="0" applyNumberFormat="0" applyAlignment="0">
      <alignment horizontal="left"/>
    </xf>
    <xf numFmtId="0" fontId="79" fillId="0" borderId="0" applyNumberFormat="0" applyAlignment="0"/>
    <xf numFmtId="0" fontId="6" fillId="0" borderId="0"/>
    <xf numFmtId="0" fontId="79" fillId="0" borderId="0" applyNumberFormat="0" applyAlignment="0"/>
    <xf numFmtId="0" fontId="6" fillId="0" borderId="0"/>
    <xf numFmtId="0" fontId="79" fillId="0" borderId="0" applyNumberFormat="0" applyAlignment="0"/>
    <xf numFmtId="0" fontId="28" fillId="0" borderId="0"/>
    <xf numFmtId="0" fontId="79" fillId="0" borderId="0" applyNumberFormat="0" applyAlignment="0"/>
    <xf numFmtId="172" fontId="149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74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74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150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15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44" fontId="150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15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81" fillId="0" borderId="0" applyFont="0" applyFill="0" applyBorder="0" applyAlignment="0" applyProtection="0"/>
    <xf numFmtId="0" fontId="28" fillId="0" borderId="0"/>
    <xf numFmtId="44" fontId="81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4" fontId="2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4" fontId="147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10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10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104" fillId="0" borderId="0" applyFont="0" applyFill="0" applyBorder="0" applyAlignment="0" applyProtection="0"/>
    <xf numFmtId="0" fontId="28" fillId="0" borderId="0"/>
    <xf numFmtId="44" fontId="10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75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166" fontId="6" fillId="0" borderId="0"/>
    <xf numFmtId="166" fontId="6" fillId="0" borderId="0"/>
    <xf numFmtId="0" fontId="28" fillId="0" borderId="0"/>
    <xf numFmtId="166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0" fontId="6" fillId="0" borderId="0"/>
    <xf numFmtId="166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83" fillId="0" borderId="0" applyNumberForma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83" fillId="0" borderId="0" applyNumberFormat="0" applyFill="0" applyBorder="0" applyAlignment="0" applyProtection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51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152" fillId="0" borderId="0" applyNumberFormat="0" applyFill="0" applyBorder="0" applyAlignment="0" applyProtection="0"/>
    <xf numFmtId="0" fontId="28" fillId="0" borderId="0"/>
    <xf numFmtId="1" fontId="153" fillId="93" borderId="15" applyNumberFormat="0" applyBorder="0" applyAlignment="0">
      <alignment horizontal="centerContinuous" vertical="center"/>
      <protection locked="0"/>
    </xf>
    <xf numFmtId="2" fontId="75" fillId="0" borderId="0" applyFont="0" applyFill="0" applyBorder="0" applyAlignment="0" applyProtection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2" fontId="75" fillId="0" borderId="0" applyFont="0" applyFill="0" applyBorder="0" applyAlignment="0" applyProtection="0"/>
    <xf numFmtId="2" fontId="70" fillId="0" borderId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54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55" fillId="0" borderId="0">
      <alignment horizontal="right"/>
    </xf>
    <xf numFmtId="0" fontId="156" fillId="0" borderId="0">
      <alignment vertical="center"/>
    </xf>
    <xf numFmtId="0" fontId="157" fillId="0" borderId="0">
      <alignment horizontal="right"/>
    </xf>
    <xf numFmtId="203" fontId="158" fillId="0" borderId="0">
      <alignment horizontal="right" vertical="center"/>
    </xf>
    <xf numFmtId="203" fontId="155" fillId="0" borderId="0" applyFill="0" applyBorder="0">
      <alignment horizontal="right" vertical="center"/>
    </xf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84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28" fillId="0" borderId="0"/>
    <xf numFmtId="0" fontId="84" fillId="6" borderId="0" applyNumberFormat="0" applyBorder="0" applyAlignment="0" applyProtection="0"/>
    <xf numFmtId="0" fontId="28" fillId="0" borderId="0"/>
    <xf numFmtId="0" fontId="84" fillId="6" borderId="0" applyNumberFormat="0" applyBorder="0" applyAlignment="0" applyProtection="0"/>
    <xf numFmtId="0" fontId="28" fillId="0" borderId="0"/>
    <xf numFmtId="0" fontId="28" fillId="0" borderId="0"/>
    <xf numFmtId="0" fontId="84" fillId="6" borderId="0" applyNumberFormat="0" applyBorder="0" applyAlignment="0" applyProtection="0"/>
    <xf numFmtId="0" fontId="84" fillId="6" borderId="0" applyNumberFormat="0" applyBorder="0" applyAlignment="0" applyProtection="0"/>
    <xf numFmtId="0" fontId="34" fillId="4" borderId="0" applyNumberFormat="0" applyBorder="0" applyAlignment="0" applyProtection="0"/>
    <xf numFmtId="0" fontId="159" fillId="98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4" fillId="71" borderId="0" applyNumberFormat="0" applyBorder="0" applyAlignment="0" applyProtection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84" fillId="7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60" fillId="71" borderId="0" applyNumberFormat="0" applyBorder="0" applyAlignment="0" applyProtection="0"/>
    <xf numFmtId="0" fontId="28" fillId="0" borderId="0"/>
    <xf numFmtId="0" fontId="84" fillId="71" borderId="0" applyNumberFormat="0" applyBorder="0" applyAlignment="0" applyProtection="0"/>
    <xf numFmtId="0" fontId="6" fillId="0" borderId="0"/>
    <xf numFmtId="0" fontId="28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0" fontId="28" fillId="0" borderId="0"/>
    <xf numFmtId="0" fontId="35" fillId="0" borderId="3" applyNumberFormat="0" applyFill="0" applyAlignment="0" applyProtection="0"/>
    <xf numFmtId="0" fontId="28" fillId="0" borderId="0"/>
    <xf numFmtId="0" fontId="28" fillId="0" borderId="0"/>
    <xf numFmtId="0" fontId="35" fillId="0" borderId="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8" fillId="0" borderId="42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88" fillId="0" borderId="42" applyNumberFormat="0" applyFill="0" applyAlignment="0" applyProtection="0"/>
    <xf numFmtId="0" fontId="6" fillId="0" borderId="0"/>
    <xf numFmtId="0" fontId="161" fillId="0" borderId="42" applyNumberFormat="0" applyFill="0" applyAlignment="0" applyProtection="0"/>
    <xf numFmtId="0" fontId="88" fillId="0" borderId="42" applyNumberFormat="0" applyFill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88" fillId="0" borderId="42" applyNumberFormat="0" applyFill="0" applyAlignment="0" applyProtection="0"/>
    <xf numFmtId="0" fontId="161" fillId="0" borderId="42" applyNumberFormat="0" applyFill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87" fillId="0" borderId="41" applyNumberFormat="0" applyFill="0" applyAlignment="0" applyProtection="0"/>
    <xf numFmtId="0" fontId="28" fillId="0" borderId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88" fillId="0" borderId="42" applyNumberFormat="0" applyFill="0" applyAlignment="0" applyProtection="0"/>
    <xf numFmtId="0" fontId="28" fillId="0" borderId="0"/>
    <xf numFmtId="0" fontId="133" fillId="0" borderId="0"/>
    <xf numFmtId="0" fontId="161" fillId="0" borderId="42" applyNumberFormat="0" applyFill="0" applyAlignment="0" applyProtection="0"/>
    <xf numFmtId="0" fontId="87" fillId="0" borderId="4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41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87" fillId="0" borderId="41" applyNumberFormat="0" applyFill="0" applyAlignment="0" applyProtection="0"/>
    <xf numFmtId="0" fontId="36" fillId="0" borderId="4" applyNumberFormat="0" applyFill="0" applyAlignment="0" applyProtection="0"/>
    <xf numFmtId="0" fontId="28" fillId="0" borderId="0"/>
    <xf numFmtId="0" fontId="28" fillId="0" borderId="0"/>
    <xf numFmtId="0" fontId="36" fillId="0" borderId="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2" fillId="0" borderId="44" applyNumberFormat="0" applyFill="0" applyAlignment="0" applyProtection="0"/>
    <xf numFmtId="0" fontId="28" fillId="0" borderId="0"/>
    <xf numFmtId="0" fontId="133" fillId="0" borderId="0"/>
    <xf numFmtId="0" fontId="6" fillId="0" borderId="0"/>
    <xf numFmtId="0" fontId="92" fillId="0" borderId="44" applyNumberFormat="0" applyFill="0" applyAlignment="0" applyProtection="0"/>
    <xf numFmtId="0" fontId="6" fillId="0" borderId="0"/>
    <xf numFmtId="0" fontId="162" fillId="0" borderId="44" applyNumberFormat="0" applyFill="0" applyAlignment="0" applyProtection="0"/>
    <xf numFmtId="0" fontId="92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92" fillId="0" borderId="44" applyNumberFormat="0" applyFill="0" applyAlignment="0" applyProtection="0"/>
    <xf numFmtId="0" fontId="162" fillId="0" borderId="44" applyNumberFormat="0" applyFill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91" fillId="0" borderId="43" applyNumberFormat="0" applyFill="0" applyAlignment="0" applyProtection="0"/>
    <xf numFmtId="0" fontId="28" fillId="0" borderId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92" fillId="0" borderId="44" applyNumberFormat="0" applyFill="0" applyAlignment="0" applyProtection="0"/>
    <xf numFmtId="0" fontId="28" fillId="0" borderId="0"/>
    <xf numFmtId="0" fontId="133" fillId="0" borderId="0"/>
    <xf numFmtId="0" fontId="162" fillId="0" borderId="44" applyNumberFormat="0" applyFill="0" applyAlignment="0" applyProtection="0"/>
    <xf numFmtId="0" fontId="91" fillId="0" borderId="4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91" fillId="0" borderId="43" applyNumberFormat="0" applyFill="0" applyAlignment="0" applyProtection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7" fillId="0" borderId="5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94" fillId="0" borderId="46" applyNumberFormat="0" applyFill="0" applyAlignment="0" applyProtection="0"/>
    <xf numFmtId="0" fontId="28" fillId="0" borderId="0"/>
    <xf numFmtId="0" fontId="6" fillId="0" borderId="0"/>
    <xf numFmtId="0" fontId="94" fillId="0" borderId="64" applyNumberFormat="0" applyFill="0" applyAlignment="0" applyProtection="0"/>
    <xf numFmtId="0" fontId="28" fillId="0" borderId="0"/>
    <xf numFmtId="0" fontId="6" fillId="0" borderId="0"/>
    <xf numFmtId="0" fontId="6" fillId="0" borderId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94" fillId="0" borderId="46" applyNumberFormat="0" applyFill="0" applyAlignment="0" applyProtection="0"/>
    <xf numFmtId="0" fontId="163" fillId="0" borderId="46" applyNumberFormat="0" applyFill="0" applyAlignment="0" applyProtection="0"/>
    <xf numFmtId="0" fontId="28" fillId="0" borderId="0"/>
    <xf numFmtId="0" fontId="6" fillId="0" borderId="0"/>
    <xf numFmtId="0" fontId="163" fillId="0" borderId="46" applyNumberFormat="0" applyFill="0" applyAlignment="0" applyProtection="0"/>
    <xf numFmtId="0" fontId="28" fillId="0" borderId="0"/>
    <xf numFmtId="0" fontId="94" fillId="0" borderId="46" applyNumberFormat="0" applyFill="0" applyAlignment="0" applyProtection="0"/>
    <xf numFmtId="0" fontId="28" fillId="0" borderId="0"/>
    <xf numFmtId="0" fontId="28" fillId="0" borderId="0"/>
    <xf numFmtId="0" fontId="94" fillId="0" borderId="46" applyNumberFormat="0" applyFill="0" applyAlignment="0" applyProtection="0"/>
    <xf numFmtId="0" fontId="163" fillId="0" borderId="46" applyNumberFormat="0" applyFill="0" applyAlignment="0" applyProtection="0"/>
    <xf numFmtId="0" fontId="37" fillId="0" borderId="5" applyNumberFormat="0" applyFill="0" applyAlignment="0" applyProtection="0"/>
    <xf numFmtId="0" fontId="164" fillId="0" borderId="65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3" fillId="0" borderId="45" applyNumberFormat="0" applyFill="0" applyAlignment="0" applyProtection="0"/>
    <xf numFmtId="0" fontId="28" fillId="0" borderId="0"/>
    <xf numFmtId="0" fontId="37" fillId="0" borderId="5" applyNumberFormat="0" applyFill="0" applyAlignment="0" applyProtection="0"/>
    <xf numFmtId="0" fontId="28" fillId="0" borderId="0"/>
    <xf numFmtId="0" fontId="93" fillId="0" borderId="45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165" fillId="0" borderId="45" applyNumberFormat="0" applyFill="0" applyAlignment="0" applyProtection="0"/>
    <xf numFmtId="0" fontId="28" fillId="0" borderId="0"/>
    <xf numFmtId="0" fontId="93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7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94" fillId="0" borderId="0" applyNumberForma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9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28" fillId="0" borderId="0"/>
    <xf numFmtId="0" fontId="6" fillId="0" borderId="0"/>
    <xf numFmtId="0" fontId="163" fillId="0" borderId="0" applyNumberFormat="0" applyFill="0" applyBorder="0" applyAlignment="0" applyProtection="0"/>
    <xf numFmtId="0" fontId="28" fillId="0" borderId="0"/>
    <xf numFmtId="0" fontId="94" fillId="0" borderId="0" applyNumberFormat="0" applyFill="0" applyBorder="0" applyAlignment="0" applyProtection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3" fillId="0" borderId="0" applyNumberFormat="0" applyFill="0" applyBorder="0" applyAlignment="0" applyProtection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9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165" fillId="0" borderId="0" applyNumberFormat="0" applyFill="0" applyBorder="0" applyAlignment="0" applyProtection="0"/>
    <xf numFmtId="0" fontId="28" fillId="0" borderId="0"/>
    <xf numFmtId="0" fontId="93" fillId="0" borderId="0" applyNumberFormat="0" applyFill="0" applyBorder="0" applyAlignment="0" applyProtection="0"/>
    <xf numFmtId="0" fontId="166" fillId="105" borderId="0" applyNumberFormat="0" applyBorder="0" applyAlignment="0">
      <protection hidden="1"/>
    </xf>
    <xf numFmtId="0" fontId="28" fillId="0" borderId="0"/>
    <xf numFmtId="0" fontId="28" fillId="0" borderId="0"/>
    <xf numFmtId="0" fontId="28" fillId="0" borderId="0"/>
    <xf numFmtId="38" fontId="25" fillId="0" borderId="0"/>
    <xf numFmtId="0" fontId="6" fillId="0" borderId="0"/>
    <xf numFmtId="38" fontId="25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0" fontId="25" fillId="0" borderId="0"/>
    <xf numFmtId="0" fontId="6" fillId="0" borderId="0"/>
    <xf numFmtId="40" fontId="25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6" fillId="73" borderId="39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8" fillId="73" borderId="39" applyNumberFormat="0" applyAlignment="0" applyProtection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96" fillId="24" borderId="39" applyNumberFormat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28" fillId="0" borderId="0"/>
    <xf numFmtId="0" fontId="28" fillId="0" borderId="0"/>
    <xf numFmtId="0" fontId="38" fillId="24" borderId="1" applyNumberFormat="0" applyAlignment="0" applyProtection="0"/>
    <xf numFmtId="0" fontId="38" fillId="24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8" fillId="73" borderId="39" applyNumberFormat="0" applyAlignment="0" applyProtection="0"/>
    <xf numFmtId="0" fontId="96" fillId="73" borderId="39" applyNumberFormat="0" applyAlignment="0" applyProtection="0"/>
    <xf numFmtId="0" fontId="28" fillId="0" borderId="0"/>
    <xf numFmtId="0" fontId="38" fillId="7" borderId="1" applyNumberFormat="0" applyAlignment="0" applyProtection="0"/>
    <xf numFmtId="0" fontId="28" fillId="0" borderId="0"/>
    <xf numFmtId="0" fontId="168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168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96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96" fillId="73" borderId="39" applyNumberFormat="0" applyAlignment="0" applyProtection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96" fillId="24" borderId="39" applyNumberFormat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96" fillId="24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96" fillId="24" borderId="39" applyNumberFormat="0" applyAlignment="0" applyProtection="0"/>
    <xf numFmtId="0" fontId="28" fillId="0" borderId="0"/>
    <xf numFmtId="0" fontId="38" fillId="24" borderId="1" applyNumberFormat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6" fillId="24" borderId="39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96" fillId="24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8" fillId="73" borderId="39" applyNumberFormat="0" applyAlignment="0" applyProtection="0"/>
    <xf numFmtId="0" fontId="168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38" fillId="7" borderId="1" applyNumberFormat="0" applyAlignment="0" applyProtection="0"/>
    <xf numFmtId="41" fontId="97" fillId="26" borderId="47">
      <alignment horizontal="left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0" fontId="97" fillId="26" borderId="47">
      <alignment horizontal="right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" fillId="22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" fillId="22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" fontId="98" fillId="0" borderId="0" applyFill="0" applyBorder="0" applyAlignment="0" applyProtection="0"/>
    <xf numFmtId="0" fontId="6" fillId="0" borderId="0"/>
    <xf numFmtId="3" fontId="98" fillId="0" borderId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44" fillId="0" borderId="50" applyNumberFormat="0" applyFill="0" applyAlignment="0" applyProtection="0"/>
    <xf numFmtId="0" fontId="28" fillId="0" borderId="0"/>
    <xf numFmtId="0" fontId="6" fillId="0" borderId="0"/>
    <xf numFmtId="0" fontId="99" fillId="0" borderId="49" applyNumberFormat="0" applyFill="0" applyAlignment="0" applyProtection="0"/>
    <xf numFmtId="0" fontId="28" fillId="0" borderId="0"/>
    <xf numFmtId="0" fontId="6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44" fillId="0" borderId="50" applyNumberFormat="0" applyFill="0" applyAlignment="0" applyProtection="0"/>
    <xf numFmtId="0" fontId="169" fillId="0" borderId="50" applyNumberFormat="0" applyFill="0" applyAlignment="0" applyProtection="0"/>
    <xf numFmtId="0" fontId="28" fillId="0" borderId="0"/>
    <xf numFmtId="0" fontId="6" fillId="0" borderId="0"/>
    <xf numFmtId="0" fontId="169" fillId="0" borderId="50" applyNumberFormat="0" applyFill="0" applyAlignment="0" applyProtection="0"/>
    <xf numFmtId="0" fontId="28" fillId="0" borderId="0"/>
    <xf numFmtId="0" fontId="44" fillId="0" borderId="50" applyNumberFormat="0" applyFill="0" applyAlignment="0" applyProtection="0"/>
    <xf numFmtId="0" fontId="28" fillId="0" borderId="0"/>
    <xf numFmtId="0" fontId="28" fillId="0" borderId="0"/>
    <xf numFmtId="0" fontId="44" fillId="0" borderId="50" applyNumberFormat="0" applyFill="0" applyAlignment="0" applyProtection="0"/>
    <xf numFmtId="0" fontId="169" fillId="0" borderId="50" applyNumberFormat="0" applyFill="0" applyAlignment="0" applyProtection="0"/>
    <xf numFmtId="0" fontId="39" fillId="0" borderId="7" applyNumberFormat="0" applyFill="0" applyAlignment="0" applyProtection="0"/>
    <xf numFmtId="0" fontId="170" fillId="0" borderId="66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0" borderId="49" applyNumberFormat="0" applyFill="0" applyAlignment="0" applyProtection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99" fillId="0" borderId="49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171" fillId="0" borderId="49" applyNumberFormat="0" applyFill="0" applyAlignment="0" applyProtection="0"/>
    <xf numFmtId="0" fontId="28" fillId="0" borderId="0"/>
    <xf numFmtId="0" fontId="99" fillId="0" borderId="49" applyNumberFormat="0" applyFill="0" applyAlignment="0" applyProtection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44" fontId="11" fillId="0" borderId="8" applyNumberFormat="0" applyFont="0" applyAlignment="0">
      <alignment horizontal="center"/>
    </xf>
    <xf numFmtId="0" fontId="6" fillId="0" borderId="0"/>
    <xf numFmtId="44" fontId="11" fillId="0" borderId="8" applyNumberFormat="0" applyFont="0" applyAlignment="0">
      <alignment horizontal="center"/>
    </xf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44" fontId="11" fillId="0" borderId="9" applyNumberFormat="0" applyFont="0" applyAlignment="0">
      <alignment horizontal="center"/>
    </xf>
    <xf numFmtId="0" fontId="6" fillId="0" borderId="0"/>
    <xf numFmtId="44" fontId="11" fillId="0" borderId="9" applyNumberFormat="0" applyFont="0" applyAlignment="0">
      <alignment horizontal="center"/>
    </xf>
    <xf numFmtId="0" fontId="6" fillId="0" borderId="0"/>
    <xf numFmtId="0" fontId="28" fillId="0" borderId="0"/>
    <xf numFmtId="0" fontId="28" fillId="0" borderId="0"/>
    <xf numFmtId="0" fontId="28" fillId="0" borderId="0"/>
    <xf numFmtId="195" fontId="8" fillId="97" borderId="0">
      <alignment horizontal="center"/>
    </xf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101" fillId="7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02" fillId="24" borderId="0" applyNumberFormat="0" applyBorder="0" applyAlignment="0" applyProtection="0"/>
    <xf numFmtId="0" fontId="102" fillId="24" borderId="0" applyNumberFormat="0" applyBorder="0" applyAlignment="0" applyProtection="0"/>
    <xf numFmtId="0" fontId="28" fillId="0" borderId="0"/>
    <xf numFmtId="0" fontId="101" fillId="74" borderId="0" applyNumberFormat="0" applyBorder="0" applyAlignment="0" applyProtection="0"/>
    <xf numFmtId="0" fontId="28" fillId="0" borderId="0"/>
    <xf numFmtId="0" fontId="101" fillId="74" borderId="0" applyNumberFormat="0" applyBorder="0" applyAlignment="0" applyProtection="0"/>
    <xf numFmtId="0" fontId="28" fillId="0" borderId="0"/>
    <xf numFmtId="0" fontId="28" fillId="0" borderId="0"/>
    <xf numFmtId="0" fontId="101" fillId="74" borderId="0" applyNumberFormat="0" applyBorder="0" applyAlignment="0" applyProtection="0"/>
    <xf numFmtId="0" fontId="101" fillId="74" borderId="0" applyNumberFormat="0" applyBorder="0" applyAlignment="0" applyProtection="0"/>
    <xf numFmtId="0" fontId="40" fillId="24" borderId="0" applyNumberFormat="0" applyBorder="0" applyAlignment="0" applyProtection="0"/>
    <xf numFmtId="0" fontId="44" fillId="1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00" fillId="74" borderId="0" applyNumberFormat="0" applyBorder="0" applyAlignment="0" applyProtection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100" fillId="7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72" fillId="74" borderId="0" applyNumberFormat="0" applyBorder="0" applyAlignment="0" applyProtection="0"/>
    <xf numFmtId="0" fontId="28" fillId="0" borderId="0"/>
    <xf numFmtId="0" fontId="100" fillId="74" borderId="0" applyNumberFormat="0" applyBorder="0" applyAlignment="0" applyProtection="0"/>
    <xf numFmtId="37" fontId="103" fillId="0" borderId="0"/>
    <xf numFmtId="0" fontId="6" fillId="0" borderId="0"/>
    <xf numFmtId="37" fontId="103" fillId="0" borderId="0"/>
    <xf numFmtId="0" fontId="6" fillId="0" borderId="0"/>
    <xf numFmtId="37" fontId="103" fillId="0" borderId="0"/>
    <xf numFmtId="0" fontId="28" fillId="0" borderId="0"/>
    <xf numFmtId="37" fontId="103" fillId="0" borderId="0"/>
    <xf numFmtId="189" fontId="56" fillId="0" borderId="0"/>
    <xf numFmtId="0" fontId="4" fillId="0" borderId="0"/>
    <xf numFmtId="210" fontId="6" fillId="0" borderId="0"/>
    <xf numFmtId="189" fontId="5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69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0" fontId="4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5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5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32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5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5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50" fillId="0" borderId="0"/>
    <xf numFmtId="0" fontId="6" fillId="0" borderId="0"/>
    <xf numFmtId="0" fontId="6" fillId="0" borderId="0"/>
    <xf numFmtId="0" fontId="4" fillId="0" borderId="0"/>
    <xf numFmtId="0" fontId="173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4" fillId="0" borderId="0"/>
    <xf numFmtId="0" fontId="104" fillId="0" borderId="0"/>
    <xf numFmtId="0" fontId="4" fillId="0" borderId="0"/>
    <xf numFmtId="0" fontId="4" fillId="0" borderId="0"/>
    <xf numFmtId="0" fontId="6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5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80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6" fillId="0" borderId="0">
      <alignment wrapText="1"/>
    </xf>
    <xf numFmtId="0" fontId="20" fillId="0" borderId="0"/>
    <xf numFmtId="0" fontId="20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56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5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7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8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04" fillId="0" borderId="0"/>
    <xf numFmtId="0" fontId="104" fillId="0" borderId="0"/>
    <xf numFmtId="0" fontId="4" fillId="0" borderId="0"/>
    <xf numFmtId="0" fontId="104" fillId="0" borderId="0"/>
    <xf numFmtId="0" fontId="10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28" fillId="75" borderId="51" applyNumberFormat="0" applyFont="0" applyAlignment="0" applyProtection="0"/>
    <xf numFmtId="0" fontId="6" fillId="0" borderId="0"/>
    <xf numFmtId="0" fontId="56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56" fillId="25" borderId="10" applyNumberFormat="0" applyFont="0" applyAlignment="0" applyProtection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28" fillId="75" borderId="51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104" fillId="75" borderId="51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28" fillId="75" borderId="51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41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5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41" fillId="20" borderId="11" applyNumberFormat="0" applyAlignment="0" applyProtection="0"/>
    <xf numFmtId="0" fontId="4" fillId="0" borderId="0"/>
    <xf numFmtId="0" fontId="41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1" fillId="66" borderId="11" applyNumberFormat="0" applyAlignment="0" applyProtection="0"/>
    <xf numFmtId="0" fontId="41" fillId="66" borderId="11" applyNumberFormat="0" applyAlignment="0" applyProtection="0"/>
    <xf numFmtId="0" fontId="41" fillId="20" borderId="11" applyNumberFormat="0" applyAlignment="0" applyProtection="0"/>
    <xf numFmtId="0" fontId="105" fillId="66" borderId="52" applyNumberFormat="0" applyAlignment="0" applyProtection="0"/>
    <xf numFmtId="0" fontId="4" fillId="0" borderId="0"/>
    <xf numFmtId="0" fontId="4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105" fillId="66" borderId="52" applyNumberFormat="0" applyAlignment="0" applyProtection="0"/>
    <xf numFmtId="0" fontId="105" fillId="66" borderId="52" applyNumberFormat="0" applyAlignment="0" applyProtection="0"/>
    <xf numFmtId="0" fontId="41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5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05" fillId="65" borderId="52" applyNumberFormat="0" applyAlignment="0" applyProtection="0"/>
    <xf numFmtId="0" fontId="4" fillId="0" borderId="0"/>
    <xf numFmtId="0" fontId="6" fillId="0" borderId="0"/>
    <xf numFmtId="0" fontId="41" fillId="20" borderId="11" applyNumberFormat="0" applyAlignment="0" applyProtection="0"/>
    <xf numFmtId="0" fontId="6" fillId="0" borderId="0"/>
    <xf numFmtId="0" fontId="6" fillId="0" borderId="0"/>
    <xf numFmtId="0" fontId="41" fillId="20" borderId="11" applyNumberFormat="0" applyAlignment="0" applyProtection="0"/>
    <xf numFmtId="0" fontId="4" fillId="0" borderId="0"/>
    <xf numFmtId="0" fontId="176" fillId="65" borderId="52" applyNumberFormat="0" applyAlignment="0" applyProtection="0"/>
    <xf numFmtId="0" fontId="4" fillId="0" borderId="0"/>
    <xf numFmtId="0" fontId="105" fillId="65" borderId="52" applyNumberFormat="0" applyAlignment="0" applyProtection="0"/>
    <xf numFmtId="0" fontId="71" fillId="0" borderId="0"/>
    <xf numFmtId="0" fontId="4" fillId="0" borderId="0"/>
    <xf numFmtId="0" fontId="4" fillId="0" borderId="0"/>
    <xf numFmtId="0" fontId="6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6" fillId="0" borderId="0"/>
    <xf numFmtId="0" fontId="71" fillId="0" borderId="0"/>
    <xf numFmtId="0" fontId="4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4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28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1" fillId="0" borderId="0" applyFont="0" applyFill="0" applyBorder="0" applyAlignment="0" applyProtection="0"/>
    <xf numFmtId="0" fontId="4" fillId="0" borderId="0"/>
    <xf numFmtId="0" fontId="6" fillId="0" borderId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81" fillId="0" borderId="0" applyFont="0" applyFill="0" applyBorder="0" applyAlignment="0" applyProtection="0"/>
    <xf numFmtId="0" fontId="4" fillId="0" borderId="0"/>
    <xf numFmtId="0" fontId="4" fillId="0" borderId="0"/>
    <xf numFmtId="9" fontId="81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6" fillId="0" borderId="47"/>
    <xf numFmtId="10" fontId="6" fillId="0" borderId="47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104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28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7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4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4" fillId="0" borderId="0" applyFont="0" applyFill="0" applyBorder="0" applyAlignment="0" applyProtection="0"/>
    <xf numFmtId="10" fontId="6" fillId="0" borderId="47"/>
    <xf numFmtId="0" fontId="4" fillId="0" borderId="0"/>
    <xf numFmtId="9" fontId="104" fillId="0" borderId="0" applyFont="0" applyFill="0" applyBorder="0" applyAlignment="0" applyProtection="0"/>
    <xf numFmtId="0" fontId="4" fillId="0" borderId="0"/>
    <xf numFmtId="0" fontId="4" fillId="0" borderId="0"/>
    <xf numFmtId="9" fontId="104" fillId="0" borderId="0" applyFont="0" applyFill="0" applyBorder="0" applyAlignment="0" applyProtection="0"/>
    <xf numFmtId="0" fontId="4" fillId="0" borderId="0"/>
    <xf numFmtId="0" fontId="4" fillId="0" borderId="0"/>
    <xf numFmtId="9" fontId="104" fillId="0" borderId="0" applyFont="0" applyFill="0" applyBorder="0" applyAlignment="0" applyProtection="0"/>
    <xf numFmtId="0" fontId="4" fillId="0" borderId="0"/>
    <xf numFmtId="0" fontId="4" fillId="0" borderId="0"/>
    <xf numFmtId="9" fontId="10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77" fillId="22" borderId="0" applyBorder="0" applyAlignment="0">
      <protection hidden="1"/>
    </xf>
    <xf numFmtId="1" fontId="177" fillId="22" borderId="0">
      <alignment horizontal="center"/>
    </xf>
    <xf numFmtId="0" fontId="20" fillId="0" borderId="0" applyNumberFormat="0" applyFont="0" applyFill="0" applyBorder="0" applyAlignment="0" applyProtection="0">
      <alignment horizontal="left"/>
    </xf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0" fontId="4" fillId="0" borderId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0" fontId="6" fillId="0" borderId="0"/>
    <xf numFmtId="0" fontId="4" fillId="0" borderId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/>
    <xf numFmtId="0" fontId="4" fillId="0" borderId="0"/>
    <xf numFmtId="4" fontId="20" fillId="0" borderId="0" applyFont="0" applyFill="0" applyBorder="0" applyAlignment="0" applyProtection="0"/>
    <xf numFmtId="0" fontId="46" fillId="0" borderId="34">
      <alignment horizontal="center"/>
    </xf>
    <xf numFmtId="0" fontId="46" fillId="0" borderId="34">
      <alignment horizontal="center"/>
    </xf>
    <xf numFmtId="0" fontId="4" fillId="0" borderId="0"/>
    <xf numFmtId="0" fontId="46" fillId="0" borderId="34">
      <alignment horizontal="center"/>
    </xf>
    <xf numFmtId="0" fontId="46" fillId="0" borderId="34">
      <alignment horizontal="center"/>
    </xf>
    <xf numFmtId="0" fontId="46" fillId="0" borderId="34">
      <alignment horizontal="center"/>
    </xf>
    <xf numFmtId="0" fontId="6" fillId="0" borderId="0"/>
    <xf numFmtId="0" fontId="4" fillId="0" borderId="0"/>
    <xf numFmtId="0" fontId="46" fillId="0" borderId="34">
      <alignment horizontal="center"/>
    </xf>
    <xf numFmtId="3" fontId="20" fillId="0" borderId="0" applyFont="0" applyFill="0" applyBorder="0" applyAlignment="0" applyProtection="0"/>
    <xf numFmtId="0" fontId="4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" fillId="0" borderId="0"/>
    <xf numFmtId="0" fontId="4" fillId="0" borderId="0"/>
    <xf numFmtId="3" fontId="20" fillId="0" borderId="0" applyFont="0" applyFill="0" applyBorder="0" applyAlignment="0" applyProtection="0"/>
    <xf numFmtId="0" fontId="20" fillId="77" borderId="0" applyNumberFormat="0" applyFont="0" applyBorder="0" applyAlignment="0" applyProtection="0"/>
    <xf numFmtId="0" fontId="4" fillId="0" borderId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6" fillId="0" borderId="0"/>
    <xf numFmtId="0" fontId="4" fillId="0" borderId="0"/>
    <xf numFmtId="0" fontId="20" fillId="77" borderId="0" applyNumberFormat="0" applyFont="0" applyBorder="0" applyAlignment="0" applyProtection="0"/>
    <xf numFmtId="0" fontId="73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4" fillId="0" borderId="0"/>
    <xf numFmtId="0" fontId="4" fillId="0" borderId="0"/>
    <xf numFmtId="0" fontId="74" fillId="0" borderId="0"/>
    <xf numFmtId="0" fontId="107" fillId="0" borderId="0"/>
    <xf numFmtId="0" fontId="10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8" fillId="0" borderId="0"/>
    <xf numFmtId="0" fontId="4" fillId="0" borderId="0"/>
    <xf numFmtId="0" fontId="10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06" fillId="0" borderId="0" applyFill="0" applyBorder="0" applyAlignment="0" applyProtection="0"/>
    <xf numFmtId="0" fontId="4" fillId="0" borderId="0"/>
    <xf numFmtId="0" fontId="6" fillId="0" borderId="0"/>
    <xf numFmtId="3" fontId="10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0" fontId="4" fillId="0" borderId="0"/>
    <xf numFmtId="3" fontId="106" fillId="0" borderId="0" applyFill="0" applyBorder="0" applyAlignment="0" applyProtection="0"/>
    <xf numFmtId="0" fontId="4" fillId="0" borderId="0"/>
    <xf numFmtId="0" fontId="4" fillId="0" borderId="0"/>
    <xf numFmtId="3" fontId="106" fillId="0" borderId="0" applyFill="0" applyBorder="0" applyAlignment="0" applyProtection="0"/>
    <xf numFmtId="0" fontId="4" fillId="0" borderId="0"/>
    <xf numFmtId="3" fontId="106" fillId="0" borderId="0" applyFill="0" applyBorder="0" applyAlignment="0" applyProtection="0"/>
    <xf numFmtId="0" fontId="4" fillId="0" borderId="0"/>
    <xf numFmtId="3" fontId="10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2" fillId="78" borderId="0"/>
    <xf numFmtId="0" fontId="109" fillId="78" borderId="48"/>
    <xf numFmtId="0" fontId="110" fillId="79" borderId="53"/>
    <xf numFmtId="0" fontId="110" fillId="79" borderId="53"/>
    <xf numFmtId="0" fontId="111" fillId="78" borderId="54"/>
    <xf numFmtId="0" fontId="111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5" fillId="0" borderId="0" applyBorder="0" applyAlignment="0"/>
    <xf numFmtId="164" fontId="25" fillId="0" borderId="0" applyBorder="0" applyAlignment="0"/>
    <xf numFmtId="0" fontId="4" fillId="0" borderId="0"/>
    <xf numFmtId="0" fontId="6" fillId="0" borderId="0"/>
    <xf numFmtId="164" fontId="25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4" fillId="23" borderId="13">
      <alignment horizontal="left"/>
    </xf>
    <xf numFmtId="198" fontId="24" fillId="23" borderId="13">
      <alignment horizontal="left"/>
    </xf>
    <xf numFmtId="198" fontId="24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4" fillId="23" borderId="13">
      <alignment horizontal="left"/>
    </xf>
    <xf numFmtId="0" fontId="4" fillId="0" borderId="0"/>
    <xf numFmtId="14" fontId="56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56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78" fillId="0" borderId="0"/>
    <xf numFmtId="4" fontId="112" fillId="26" borderId="11" applyNumberFormat="0" applyProtection="0">
      <alignment vertical="center"/>
    </xf>
    <xf numFmtId="4" fontId="112" fillId="26" borderId="11" applyNumberFormat="0" applyProtection="0">
      <alignment vertical="center"/>
    </xf>
    <xf numFmtId="4" fontId="112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3" fillId="26" borderId="11" applyNumberFormat="0" applyProtection="0">
      <alignment vertical="center"/>
    </xf>
    <xf numFmtId="4" fontId="113" fillId="26" borderId="11" applyNumberFormat="0" applyProtection="0">
      <alignment vertical="center"/>
    </xf>
    <xf numFmtId="4" fontId="113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12" fillId="82" borderId="11" applyNumberFormat="0" applyProtection="0">
      <alignment horizontal="right" vertical="center"/>
    </xf>
    <xf numFmtId="4" fontId="112" fillId="82" borderId="11" applyNumberFormat="0" applyProtection="0">
      <alignment horizontal="right" vertical="center"/>
    </xf>
    <xf numFmtId="4" fontId="112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3" borderId="11" applyNumberFormat="0" applyProtection="0">
      <alignment horizontal="right" vertical="center"/>
    </xf>
    <xf numFmtId="4" fontId="112" fillId="83" borderId="11" applyNumberFormat="0" applyProtection="0">
      <alignment horizontal="right" vertical="center"/>
    </xf>
    <xf numFmtId="4" fontId="112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4" borderId="11" applyNumberFormat="0" applyProtection="0">
      <alignment horizontal="right" vertical="center"/>
    </xf>
    <xf numFmtId="4" fontId="112" fillId="84" borderId="11" applyNumberFormat="0" applyProtection="0">
      <alignment horizontal="right" vertical="center"/>
    </xf>
    <xf numFmtId="4" fontId="112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5" borderId="11" applyNumberFormat="0" applyProtection="0">
      <alignment horizontal="right" vertical="center"/>
    </xf>
    <xf numFmtId="4" fontId="112" fillId="85" borderId="11" applyNumberFormat="0" applyProtection="0">
      <alignment horizontal="right" vertical="center"/>
    </xf>
    <xf numFmtId="4" fontId="112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6" borderId="11" applyNumberFormat="0" applyProtection="0">
      <alignment horizontal="right" vertical="center"/>
    </xf>
    <xf numFmtId="4" fontId="112" fillId="86" borderId="11" applyNumberFormat="0" applyProtection="0">
      <alignment horizontal="right" vertical="center"/>
    </xf>
    <xf numFmtId="4" fontId="112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7" borderId="11" applyNumberFormat="0" applyProtection="0">
      <alignment horizontal="right" vertical="center"/>
    </xf>
    <xf numFmtId="4" fontId="112" fillId="87" borderId="11" applyNumberFormat="0" applyProtection="0">
      <alignment horizontal="right" vertical="center"/>
    </xf>
    <xf numFmtId="4" fontId="112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8" borderId="11" applyNumberFormat="0" applyProtection="0">
      <alignment horizontal="right" vertical="center"/>
    </xf>
    <xf numFmtId="4" fontId="112" fillId="88" borderId="11" applyNumberFormat="0" applyProtection="0">
      <alignment horizontal="right" vertical="center"/>
    </xf>
    <xf numFmtId="4" fontId="112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9" borderId="11" applyNumberFormat="0" applyProtection="0">
      <alignment horizontal="right" vertical="center"/>
    </xf>
    <xf numFmtId="4" fontId="112" fillId="89" borderId="11" applyNumberFormat="0" applyProtection="0">
      <alignment horizontal="right" vertical="center"/>
    </xf>
    <xf numFmtId="4" fontId="112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90" borderId="11" applyNumberFormat="0" applyProtection="0">
      <alignment horizontal="right" vertical="center"/>
    </xf>
    <xf numFmtId="4" fontId="112" fillId="90" borderId="11" applyNumberFormat="0" applyProtection="0">
      <alignment horizontal="right" vertical="center"/>
    </xf>
    <xf numFmtId="4" fontId="112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92" borderId="0" applyNumberFormat="0" applyProtection="0">
      <alignment horizontal="left" vertical="center" indent="1"/>
    </xf>
    <xf numFmtId="4" fontId="114" fillId="91" borderId="11" applyNumberFormat="0" applyProtection="0">
      <alignment horizontal="left" vertical="center" indent="1"/>
    </xf>
    <xf numFmtId="4" fontId="114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2" fillId="93" borderId="0" applyNumberFormat="0" applyProtection="0">
      <alignment horizontal="left" vertical="center" indent="1"/>
    </xf>
    <xf numFmtId="4" fontId="112" fillId="93" borderId="55" applyNumberFormat="0" applyProtection="0">
      <alignment horizontal="left" vertical="center" indent="1"/>
    </xf>
    <xf numFmtId="4" fontId="112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5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6" fillId="0" borderId="0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6" fillId="0" borderId="0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112" fillId="97" borderId="11" applyNumberFormat="0" applyProtection="0">
      <alignment vertical="center"/>
    </xf>
    <xf numFmtId="4" fontId="112" fillId="97" borderId="11" applyNumberFormat="0" applyProtection="0">
      <alignment vertical="center"/>
    </xf>
    <xf numFmtId="4" fontId="112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3" fillId="97" borderId="11" applyNumberFormat="0" applyProtection="0">
      <alignment vertical="center"/>
    </xf>
    <xf numFmtId="4" fontId="113" fillId="97" borderId="11" applyNumberFormat="0" applyProtection="0">
      <alignment vertical="center"/>
    </xf>
    <xf numFmtId="4" fontId="113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112" fillId="93" borderId="11" applyNumberFormat="0" applyProtection="0">
      <alignment horizontal="right" vertical="center"/>
    </xf>
    <xf numFmtId="0" fontId="4" fillId="0" borderId="0"/>
    <xf numFmtId="4" fontId="113" fillId="93" borderId="11" applyNumberFormat="0" applyProtection="0">
      <alignment horizontal="right" vertical="center"/>
    </xf>
    <xf numFmtId="4" fontId="113" fillId="93" borderId="11" applyNumberFormat="0" applyProtection="0">
      <alignment horizontal="right" vertical="center"/>
    </xf>
    <xf numFmtId="4" fontId="113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8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19" fillId="93" borderId="11" applyNumberFormat="0" applyProtection="0">
      <alignment horizontal="right" vertical="center"/>
    </xf>
    <xf numFmtId="4" fontId="119" fillId="93" borderId="11" applyNumberFormat="0" applyProtection="0">
      <alignment horizontal="right" vertical="center"/>
    </xf>
    <xf numFmtId="4" fontId="119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0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5" fillId="0" borderId="13"/>
    <xf numFmtId="38" fontId="25" fillId="0" borderId="13"/>
    <xf numFmtId="38" fontId="25" fillId="0" borderId="13"/>
    <xf numFmtId="38" fontId="25" fillId="0" borderId="13"/>
    <xf numFmtId="0" fontId="4" fillId="0" borderId="0"/>
    <xf numFmtId="0" fontId="6" fillId="0" borderId="0"/>
    <xf numFmtId="38" fontId="25" fillId="0" borderId="13"/>
    <xf numFmtId="38" fontId="25" fillId="0" borderId="13"/>
    <xf numFmtId="38" fontId="25" fillId="0" borderId="13"/>
    <xf numFmtId="0" fontId="4" fillId="0" borderId="0"/>
    <xf numFmtId="0" fontId="4" fillId="0" borderId="0"/>
    <xf numFmtId="39" fontId="56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56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79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69" applyNumberFormat="0" applyProtection="0">
      <alignment horizontal="center" wrapText="1"/>
    </xf>
    <xf numFmtId="0" fontId="18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70" applyNumberFormat="0" applyAlignment="0" applyProtection="0">
      <alignment wrapText="1"/>
    </xf>
    <xf numFmtId="0" fontId="181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2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82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82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83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2" fillId="0" borderId="0" applyNumberFormat="0" applyBorder="0" applyAlignment="0"/>
    <xf numFmtId="0" fontId="121" fillId="0" borderId="0" applyNumberFormat="0" applyBorder="0" applyAlignment="0"/>
    <xf numFmtId="0" fontId="114" fillId="0" borderId="0" applyNumberFormat="0" applyBorder="0" applyAlignment="0"/>
    <xf numFmtId="218" fontId="184" fillId="0" borderId="0"/>
    <xf numFmtId="17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85" fillId="112" borderId="0" applyFont="0" applyBorder="0" applyAlignment="0">
      <alignment vertical="top" wrapText="1"/>
    </xf>
    <xf numFmtId="218" fontId="186" fillId="112" borderId="72" applyBorder="0">
      <alignment horizontal="right" vertical="top" wrapText="1"/>
    </xf>
    <xf numFmtId="0" fontId="124" fillId="0" borderId="0"/>
    <xf numFmtId="0" fontId="124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2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2" fillId="0" borderId="0" applyNumberFormat="0" applyFill="0" applyBorder="0" applyAlignment="0" applyProtection="0"/>
    <xf numFmtId="0" fontId="4" fillId="0" borderId="0"/>
    <xf numFmtId="0" fontId="120" fillId="0" borderId="0" applyNumberFormat="0" applyFill="0" applyBorder="0" applyAlignment="0" applyProtection="0"/>
    <xf numFmtId="0" fontId="4" fillId="0" borderId="0"/>
    <xf numFmtId="0" fontId="6" fillId="0" borderId="0"/>
    <xf numFmtId="0" fontId="187" fillId="0" borderId="0" applyNumberFormat="0" applyFill="0" applyBorder="0" applyAlignment="0" applyProtection="0"/>
    <xf numFmtId="0" fontId="4" fillId="0" borderId="0"/>
    <xf numFmtId="0" fontId="6" fillId="0" borderId="0"/>
    <xf numFmtId="0" fontId="120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8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26" fillId="0" borderId="0" applyNumberFormat="0" applyFill="0" applyBorder="0" applyAlignment="0" applyProtection="0"/>
    <xf numFmtId="0" fontId="4" fillId="0" borderId="0"/>
    <xf numFmtId="0" fontId="6" fillId="0" borderId="0"/>
    <xf numFmtId="0" fontId="42" fillId="0" borderId="0" applyNumberFormat="0" applyFill="0" applyBorder="0" applyAlignment="0" applyProtection="0"/>
    <xf numFmtId="0" fontId="6" fillId="0" borderId="0"/>
    <xf numFmtId="0" fontId="6" fillId="0" borderId="0"/>
    <xf numFmtId="0" fontId="42" fillId="0" borderId="0" applyNumberFormat="0" applyFill="0" applyBorder="0" applyAlignment="0" applyProtection="0"/>
    <xf numFmtId="0" fontId="4" fillId="0" borderId="0"/>
    <xf numFmtId="0" fontId="4" fillId="0" borderId="0"/>
    <xf numFmtId="0" fontId="126" fillId="0" borderId="0" applyNumberFormat="0" applyFill="0" applyBorder="0" applyAlignment="0" applyProtection="0"/>
    <xf numFmtId="0" fontId="72" fillId="0" borderId="0"/>
    <xf numFmtId="0" fontId="109" fillId="78" borderId="0"/>
    <xf numFmtId="0" fontId="127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7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7" fillId="23" borderId="0">
      <alignment horizontal="left" vertical="center"/>
    </xf>
    <xf numFmtId="0" fontId="4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29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29" fillId="0" borderId="0">
      <alignment horizontal="left" vertical="center"/>
    </xf>
    <xf numFmtId="0" fontId="4" fillId="0" borderId="0"/>
    <xf numFmtId="205" fontId="15" fillId="0" borderId="0"/>
    <xf numFmtId="0" fontId="4" fillId="0" borderId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43" fillId="0" borderId="14" applyNumberFormat="0" applyFill="0" applyAlignment="0" applyProtection="0"/>
    <xf numFmtId="0" fontId="130" fillId="0" borderId="59" applyNumberFormat="0" applyFill="0" applyAlignment="0" applyProtection="0"/>
    <xf numFmtId="0" fontId="4" fillId="0" borderId="0"/>
    <xf numFmtId="0" fontId="4" fillId="0" borderId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4" fillId="0" borderId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4" fillId="0" borderId="0"/>
    <xf numFmtId="0" fontId="130" fillId="0" borderId="59" applyNumberFormat="0" applyFill="0" applyAlignment="0" applyProtection="0"/>
    <xf numFmtId="0" fontId="75" fillId="0" borderId="58" applyNumberFormat="0" applyFont="0" applyFill="0" applyAlignment="0" applyProtection="0"/>
    <xf numFmtId="0" fontId="6" fillId="0" borderId="0"/>
    <xf numFmtId="0" fontId="4" fillId="0" borderId="0"/>
    <xf numFmtId="0" fontId="43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30" fillId="0" borderId="57" applyNumberFormat="0" applyFill="0" applyAlignment="0" applyProtection="0"/>
    <xf numFmtId="0" fontId="4" fillId="0" borderId="0"/>
    <xf numFmtId="0" fontId="130" fillId="0" borderId="57" applyNumberFormat="0" applyFill="0" applyAlignment="0" applyProtection="0"/>
    <xf numFmtId="0" fontId="75" fillId="0" borderId="58" applyNumberFormat="0" applyFont="0" applyFill="0" applyAlignment="0" applyProtection="0"/>
    <xf numFmtId="0" fontId="4" fillId="0" borderId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4" fillId="0" borderId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7" applyNumberFormat="0" applyFill="0" applyAlignment="0" applyProtection="0"/>
    <xf numFmtId="0" fontId="6" fillId="0" borderId="0"/>
    <xf numFmtId="0" fontId="75" fillId="0" borderId="58" applyNumberFormat="0" applyFont="0" applyFill="0" applyAlignment="0" applyProtection="0"/>
    <xf numFmtId="0" fontId="75" fillId="0" borderId="58" applyNumberFormat="0" applyFont="0" applyFill="0" applyAlignment="0" applyProtection="0"/>
    <xf numFmtId="0" fontId="4" fillId="0" borderId="0"/>
    <xf numFmtId="0" fontId="6" fillId="0" borderId="0"/>
    <xf numFmtId="0" fontId="75" fillId="0" borderId="58" applyNumberFormat="0" applyFont="0" applyFill="0" applyAlignment="0" applyProtection="0"/>
    <xf numFmtId="0" fontId="75" fillId="0" borderId="58" applyNumberFormat="0" applyFont="0" applyFill="0" applyAlignment="0" applyProtection="0"/>
    <xf numFmtId="0" fontId="6" fillId="0" borderId="0"/>
    <xf numFmtId="0" fontId="4" fillId="0" borderId="0"/>
    <xf numFmtId="0" fontId="75" fillId="0" borderId="58" applyNumberFormat="0" applyFont="0" applyFill="0" applyAlignment="0" applyProtection="0"/>
    <xf numFmtId="0" fontId="75" fillId="0" borderId="58" applyNumberFormat="0" applyFont="0" applyFill="0" applyAlignment="0" applyProtection="0"/>
    <xf numFmtId="0" fontId="4" fillId="0" borderId="0"/>
    <xf numFmtId="0" fontId="130" fillId="0" borderId="57" applyNumberFormat="0" applyFill="0" applyAlignment="0" applyProtection="0"/>
    <xf numFmtId="0" fontId="73" fillId="0" borderId="60"/>
    <xf numFmtId="0" fontId="74" fillId="0" borderId="60"/>
    <xf numFmtId="0" fontId="74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74" fillId="0" borderId="60"/>
    <xf numFmtId="0" fontId="4" fillId="0" borderId="0"/>
    <xf numFmtId="0" fontId="74" fillId="0" borderId="60"/>
    <xf numFmtId="205" fontId="25" fillId="0" borderId="73"/>
    <xf numFmtId="212" fontId="143" fillId="0" borderId="73" applyAlignment="0"/>
    <xf numFmtId="213" fontId="143" fillId="0" borderId="73" applyAlignment="0"/>
    <xf numFmtId="218" fontId="143" fillId="0" borderId="73" applyAlignment="0">
      <alignment horizontal="right"/>
    </xf>
    <xf numFmtId="222" fontId="177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3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9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" fillId="0" borderId="0"/>
    <xf numFmtId="0" fontId="190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9" fontId="133" fillId="0" borderId="0" applyFont="0" applyFill="0" applyBorder="0" applyAlignment="0" applyProtection="0"/>
    <xf numFmtId="166" fontId="6" fillId="0" borderId="0">
      <alignment horizontal="left" wrapText="1"/>
    </xf>
  </cellStyleXfs>
  <cellXfs count="450">
    <xf numFmtId="0" fontId="0" fillId="0" borderId="0" xfId="0"/>
    <xf numFmtId="164" fontId="6" fillId="0" borderId="0" xfId="29" applyNumberFormat="1"/>
    <xf numFmtId="164" fontId="0" fillId="0" borderId="0" xfId="0" applyNumberFormat="1" applyFill="1" applyBorder="1"/>
    <xf numFmtId="168" fontId="6" fillId="0" borderId="0" xfId="30" applyNumberFormat="1" applyFill="1" applyBorder="1"/>
    <xf numFmtId="164" fontId="6" fillId="0" borderId="0" xfId="29" applyNumberFormat="1" applyFill="1" applyBorder="1"/>
    <xf numFmtId="0" fontId="0" fillId="0" borderId="0" xfId="0" applyFill="1" applyBorder="1"/>
    <xf numFmtId="17" fontId="0" fillId="0" borderId="0" xfId="0" applyNumberFormat="1" applyFill="1" applyBorder="1" applyAlignment="1">
      <alignment horizontal="center" wrapText="1"/>
    </xf>
    <xf numFmtId="164" fontId="6" fillId="0" borderId="0" xfId="29" applyNumberFormat="1" applyBorder="1"/>
    <xf numFmtId="0" fontId="0" fillId="0" borderId="0" xfId="0" applyFill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0" xfId="0" applyBorder="1"/>
    <xf numFmtId="0" fontId="11" fillId="0" borderId="20" xfId="0" applyFont="1" applyBorder="1" applyAlignment="1" applyProtection="1">
      <alignment horizontal="center"/>
      <protection locked="0"/>
    </xf>
    <xf numFmtId="0" fontId="11" fillId="0" borderId="20" xfId="0" applyFont="1" applyBorder="1"/>
    <xf numFmtId="0" fontId="10" fillId="0" borderId="20" xfId="0" applyFont="1" applyBorder="1"/>
    <xf numFmtId="0" fontId="12" fillId="0" borderId="0" xfId="0" applyFont="1"/>
    <xf numFmtId="0" fontId="13" fillId="0" borderId="0" xfId="0" applyFont="1" applyBorder="1"/>
    <xf numFmtId="0" fontId="12" fillId="0" borderId="0" xfId="0" applyFont="1" applyBorder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15" fillId="0" borderId="0" xfId="0" quotePrefix="1" applyFont="1" applyAlignment="1">
      <alignment horizontal="center"/>
    </xf>
    <xf numFmtId="0" fontId="15" fillId="0" borderId="0" xfId="0" applyFont="1" applyBorder="1" applyAlignment="1">
      <alignment horizontal="center"/>
    </xf>
    <xf numFmtId="37" fontId="15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7" fontId="10" fillId="0" borderId="0" xfId="0" applyNumberFormat="1" applyFont="1"/>
    <xf numFmtId="3" fontId="12" fillId="0" borderId="0" xfId="29" applyNumberFormat="1" applyFont="1" applyFill="1"/>
    <xf numFmtId="0" fontId="12" fillId="0" borderId="0" xfId="0" applyFont="1" applyFill="1"/>
    <xf numFmtId="0" fontId="10" fillId="0" borderId="0" xfId="0" applyFont="1" applyFill="1"/>
    <xf numFmtId="37" fontId="10" fillId="0" borderId="0" xfId="29" applyNumberFormat="1" applyFont="1" applyFill="1"/>
    <xf numFmtId="0" fontId="10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42" fontId="0" fillId="0" borderId="0" xfId="0" applyNumberFormat="1"/>
    <xf numFmtId="0" fontId="10" fillId="0" borderId="0" xfId="0" applyFont="1" applyAlignment="1" applyProtection="1">
      <alignment horizontal="center"/>
      <protection locked="0"/>
    </xf>
    <xf numFmtId="17" fontId="11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29" applyNumberFormat="1" applyFont="1"/>
    <xf numFmtId="3" fontId="0" fillId="0" borderId="0" xfId="0" applyNumberFormat="1"/>
    <xf numFmtId="0" fontId="11" fillId="0" borderId="0" xfId="0" applyFont="1"/>
    <xf numFmtId="0" fontId="0" fillId="0" borderId="0" xfId="0" applyAlignment="1">
      <alignment horizontal="left" indent="1"/>
    </xf>
    <xf numFmtId="164" fontId="19" fillId="0" borderId="0" xfId="0" applyNumberFormat="1" applyFont="1"/>
    <xf numFmtId="0" fontId="14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165" fontId="10" fillId="0" borderId="0" xfId="0" applyNumberFormat="1" applyFont="1" applyFill="1" applyBorder="1"/>
    <xf numFmtId="0" fontId="10" fillId="0" borderId="0" xfId="0" applyFont="1" applyFill="1" applyBorder="1"/>
    <xf numFmtId="9" fontId="10" fillId="0" borderId="0" xfId="0" applyNumberFormat="1" applyFont="1" applyFill="1" applyBorder="1" applyAlignment="1">
      <alignment horizontal="right"/>
    </xf>
    <xf numFmtId="37" fontId="0" fillId="0" borderId="0" xfId="0" applyNumberFormat="1"/>
    <xf numFmtId="37" fontId="10" fillId="0" borderId="0" xfId="0" applyNumberFormat="1" applyFont="1" applyFill="1"/>
    <xf numFmtId="167" fontId="6" fillId="0" borderId="0" xfId="52" applyNumberFormat="1"/>
    <xf numFmtId="0" fontId="1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3" fontId="22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164" fontId="6" fillId="0" borderId="0" xfId="29" applyNumberFormat="1" applyFont="1"/>
    <xf numFmtId="0" fontId="10" fillId="0" borderId="0" xfId="0" applyFont="1" applyBorder="1" applyAlignment="1">
      <alignment horizontal="left"/>
    </xf>
    <xf numFmtId="164" fontId="10" fillId="0" borderId="0" xfId="29" applyNumberFormat="1" applyFont="1" applyBorder="1"/>
    <xf numFmtId="0" fontId="10" fillId="0" borderId="0" xfId="0" applyFont="1" applyBorder="1"/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29" applyNumberFormat="1" applyFont="1" applyFill="1"/>
    <xf numFmtId="9" fontId="6" fillId="0" borderId="0" xfId="52" applyFont="1"/>
    <xf numFmtId="0" fontId="6" fillId="0" borderId="0" xfId="0" applyFont="1" applyFill="1" applyAlignment="1">
      <alignment horizontal="left" indent="1"/>
    </xf>
    <xf numFmtId="9" fontId="0" fillId="0" borderId="0" xfId="52" applyFont="1"/>
    <xf numFmtId="9" fontId="11" fillId="0" borderId="0" xfId="52" applyFont="1" applyAlignment="1">
      <alignment horizontal="center"/>
    </xf>
    <xf numFmtId="0" fontId="6" fillId="0" borderId="0" xfId="0" applyFont="1" applyBorder="1" applyAlignment="1">
      <alignment horizontal="left" indent="1"/>
    </xf>
    <xf numFmtId="0" fontId="23" fillId="0" borderId="0" xfId="0" applyFont="1" applyBorder="1"/>
    <xf numFmtId="0" fontId="23" fillId="0" borderId="0" xfId="0" applyFont="1" applyBorder="1" applyAlignment="1">
      <alignment horizontal="left" indent="1"/>
    </xf>
    <xf numFmtId="0" fontId="24" fillId="0" borderId="0" xfId="0" applyFont="1"/>
    <xf numFmtId="0" fontId="11" fillId="0" borderId="0" xfId="0" applyFont="1" applyBorder="1"/>
    <xf numFmtId="0" fontId="0" fillId="0" borderId="0" xfId="0" applyBorder="1" applyAlignment="1">
      <alignment horizontal="left" indent="1"/>
    </xf>
    <xf numFmtId="164" fontId="6" fillId="0" borderId="22" xfId="29" applyNumberFormat="1" applyFont="1" applyBorder="1"/>
    <xf numFmtId="164" fontId="0" fillId="0" borderId="22" xfId="29" applyNumberFormat="1" applyFont="1" applyBorder="1"/>
    <xf numFmtId="164" fontId="10" fillId="0" borderId="23" xfId="29" applyNumberFormat="1" applyFont="1" applyBorder="1"/>
    <xf numFmtId="164" fontId="6" fillId="0" borderId="22" xfId="29" applyNumberFormat="1" applyBorder="1"/>
    <xf numFmtId="164" fontId="6" fillId="0" borderId="0" xfId="29" applyNumberFormat="1" applyFont="1" applyBorder="1"/>
    <xf numFmtId="9" fontId="23" fillId="0" borderId="0" xfId="52" applyFont="1"/>
    <xf numFmtId="164" fontId="23" fillId="0" borderId="0" xfId="29" applyNumberFormat="1" applyFont="1"/>
    <xf numFmtId="164" fontId="23" fillId="0" borderId="0" xfId="29" applyNumberFormat="1" applyFont="1" applyFill="1"/>
    <xf numFmtId="0" fontId="23" fillId="0" borderId="0" xfId="0" applyFont="1"/>
    <xf numFmtId="9" fontId="6" fillId="0" borderId="22" xfId="52" applyFont="1" applyBorder="1"/>
    <xf numFmtId="0" fontId="11" fillId="0" borderId="0" xfId="0" applyFont="1" applyFill="1"/>
    <xf numFmtId="0" fontId="11" fillId="0" borderId="6" xfId="49" applyFont="1" applyBorder="1" applyAlignment="1">
      <alignment horizontal="center" vertical="center" wrapText="1"/>
    </xf>
    <xf numFmtId="164" fontId="11" fillId="0" borderId="0" xfId="29" applyNumberFormat="1" applyFont="1" applyFill="1" applyBorder="1"/>
    <xf numFmtId="0" fontId="11" fillId="0" borderId="6" xfId="49" applyFont="1" applyBorder="1" applyAlignment="1">
      <alignment vertical="center" wrapText="1"/>
    </xf>
    <xf numFmtId="164" fontId="6" fillId="0" borderId="13" xfId="29" applyNumberFormat="1" applyFont="1" applyBorder="1"/>
    <xf numFmtId="10" fontId="23" fillId="0" borderId="0" xfId="52" applyNumberFormat="1" applyFont="1" applyBorder="1"/>
    <xf numFmtId="9" fontId="6" fillId="0" borderId="13" xfId="52" applyFont="1" applyBorder="1"/>
    <xf numFmtId="9" fontId="23" fillId="0" borderId="0" xfId="52" applyFont="1" applyBorder="1"/>
    <xf numFmtId="169" fontId="0" fillId="0" borderId="0" xfId="30" applyNumberFormat="1" applyFont="1" applyFill="1" applyBorder="1"/>
    <xf numFmtId="0" fontId="16" fillId="0" borderId="0" xfId="0" quotePrefix="1" applyFont="1" applyBorder="1" applyAlignment="1">
      <alignment horizontal="center"/>
    </xf>
    <xf numFmtId="17" fontId="0" fillId="0" borderId="0" xfId="0" applyNumberFormat="1" applyBorder="1"/>
    <xf numFmtId="3" fontId="46" fillId="0" borderId="0" xfId="48" applyNumberFormat="1" applyFont="1" applyBorder="1"/>
    <xf numFmtId="167" fontId="46" fillId="0" borderId="0" xfId="52" applyNumberFormat="1" applyFont="1" applyBorder="1"/>
    <xf numFmtId="0" fontId="27" fillId="0" borderId="0" xfId="0" applyFont="1"/>
    <xf numFmtId="0" fontId="0" fillId="0" borderId="26" xfId="0" applyBorder="1" applyAlignment="1">
      <alignment horizontal="left" indent="2"/>
    </xf>
    <xf numFmtId="0" fontId="6" fillId="0" borderId="26" xfId="0" applyFont="1" applyBorder="1" applyAlignment="1">
      <alignment horizontal="left" indent="2"/>
    </xf>
    <xf numFmtId="0" fontId="6" fillId="0" borderId="26" xfId="0" applyFont="1" applyFill="1" applyBorder="1" applyAlignment="1">
      <alignment horizontal="left" indent="2"/>
    </xf>
    <xf numFmtId="0" fontId="6" fillId="0" borderId="27" xfId="0" applyFont="1" applyBorder="1" applyAlignment="1">
      <alignment horizontal="left" indent="2"/>
    </xf>
    <xf numFmtId="0" fontId="17" fillId="0" borderId="0" xfId="49" applyFont="1" applyBorder="1" applyAlignment="1">
      <alignment horizontal="center" vertical="center" wrapText="1"/>
    </xf>
    <xf numFmtId="17" fontId="17" fillId="0" borderId="0" xfId="0" applyNumberFormat="1" applyFont="1" applyAlignment="1">
      <alignment horizontal="center"/>
    </xf>
    <xf numFmtId="3" fontId="0" fillId="0" borderId="0" xfId="52" applyNumberFormat="1" applyFont="1"/>
    <xf numFmtId="172" fontId="0" fillId="0" borderId="0" xfId="0" applyNumberFormat="1"/>
    <xf numFmtId="172" fontId="0" fillId="0" borderId="0" xfId="52" applyNumberFormat="1" applyFont="1"/>
    <xf numFmtId="172" fontId="0" fillId="0" borderId="20" xfId="0" applyNumberFormat="1" applyBorder="1"/>
    <xf numFmtId="172" fontId="0" fillId="0" borderId="20" xfId="52" applyNumberFormat="1" applyFont="1" applyBorder="1"/>
    <xf numFmtId="37" fontId="11" fillId="0" borderId="13" xfId="0" applyNumberFormat="1" applyFont="1" applyFill="1" applyBorder="1"/>
    <xf numFmtId="167" fontId="0" fillId="0" borderId="0" xfId="52" applyNumberFormat="1" applyFont="1"/>
    <xf numFmtId="0" fontId="47" fillId="0" borderId="0" xfId="48" applyFont="1"/>
    <xf numFmtId="0" fontId="47" fillId="0" borderId="0" xfId="48" applyFont="1" applyBorder="1"/>
    <xf numFmtId="0" fontId="47" fillId="0" borderId="0" xfId="48" applyFont="1" applyBorder="1" applyAlignment="1">
      <alignment horizontal="right"/>
    </xf>
    <xf numFmtId="0" fontId="47" fillId="0" borderId="15" xfId="48" applyFont="1" applyBorder="1"/>
    <xf numFmtId="0" fontId="47" fillId="0" borderId="13" xfId="48" applyFont="1" applyBorder="1"/>
    <xf numFmtId="0" fontId="47" fillId="0" borderId="16" xfId="48" applyFont="1" applyBorder="1"/>
    <xf numFmtId="0" fontId="47" fillId="0" borderId="17" xfId="48" applyFont="1" applyBorder="1"/>
    <xf numFmtId="0" fontId="48" fillId="0" borderId="0" xfId="48" applyFont="1" applyBorder="1"/>
    <xf numFmtId="0" fontId="48" fillId="0" borderId="0" xfId="48" applyFont="1" applyBorder="1" applyAlignment="1">
      <alignment horizontal="right" wrapText="1"/>
    </xf>
    <xf numFmtId="3" fontId="47" fillId="0" borderId="0" xfId="48" applyNumberFormat="1" applyFont="1" applyBorder="1"/>
    <xf numFmtId="1" fontId="10" fillId="0" borderId="0" xfId="49" applyNumberFormat="1" applyFont="1" applyFill="1" applyBorder="1"/>
    <xf numFmtId="167" fontId="10" fillId="0" borderId="18" xfId="52" applyNumberFormat="1" applyFont="1" applyFill="1" applyBorder="1"/>
    <xf numFmtId="1" fontId="47" fillId="0" borderId="0" xfId="48" applyNumberFormat="1" applyFont="1"/>
    <xf numFmtId="1" fontId="10" fillId="0" borderId="0" xfId="49" applyNumberFormat="1" applyFont="1" applyFill="1" applyBorder="1" applyAlignment="1">
      <alignment horizontal="right"/>
    </xf>
    <xf numFmtId="3" fontId="50" fillId="0" borderId="0" xfId="48" applyNumberFormat="1" applyFont="1" applyBorder="1"/>
    <xf numFmtId="3" fontId="50" fillId="0" borderId="18" xfId="48" applyNumberFormat="1" applyFont="1" applyBorder="1"/>
    <xf numFmtId="167" fontId="47" fillId="0" borderId="20" xfId="52" applyNumberFormat="1" applyFont="1" applyBorder="1"/>
    <xf numFmtId="0" fontId="47" fillId="0" borderId="20" xfId="48" applyFont="1" applyBorder="1"/>
    <xf numFmtId="0" fontId="47" fillId="0" borderId="21" xfId="48" applyFont="1" applyBorder="1"/>
    <xf numFmtId="0" fontId="49" fillId="0" borderId="0" xfId="48" applyFont="1" applyBorder="1" applyAlignment="1">
      <alignment horizontal="left"/>
    </xf>
    <xf numFmtId="0" fontId="49" fillId="0" borderId="0" xfId="48" applyFont="1" applyBorder="1" applyAlignment="1">
      <alignment horizontal="left" wrapText="1"/>
    </xf>
    <xf numFmtId="0" fontId="49" fillId="0" borderId="0" xfId="48" applyFont="1" applyBorder="1" applyAlignment="1">
      <alignment wrapText="1"/>
    </xf>
    <xf numFmtId="167" fontId="47" fillId="0" borderId="0" xfId="52" applyNumberFormat="1" applyFont="1" applyBorder="1"/>
    <xf numFmtId="3" fontId="47" fillId="0" borderId="0" xfId="48" applyNumberFormat="1" applyFont="1"/>
    <xf numFmtId="167" fontId="47" fillId="0" borderId="0" xfId="48" applyNumberFormat="1" applyFont="1"/>
    <xf numFmtId="164" fontId="10" fillId="0" borderId="0" xfId="29" applyNumberFormat="1" applyFont="1" applyAlignment="1">
      <alignment horizontal="center"/>
    </xf>
    <xf numFmtId="164" fontId="10" fillId="0" borderId="22" xfId="29" applyNumberFormat="1" applyFont="1" applyBorder="1"/>
    <xf numFmtId="164" fontId="10" fillId="0" borderId="0" xfId="29" applyNumberFormat="1" applyFont="1"/>
    <xf numFmtId="164" fontId="10" fillId="0" borderId="0" xfId="29" applyNumberFormat="1" applyFont="1" applyFill="1" applyAlignment="1">
      <alignment horizontal="center"/>
    </xf>
    <xf numFmtId="0" fontId="10" fillId="0" borderId="0" xfId="0" applyFont="1" applyAlignment="1">
      <alignment horizontal="left" indent="2"/>
    </xf>
    <xf numFmtId="164" fontId="10" fillId="0" borderId="13" xfId="29" applyNumberFormat="1" applyFont="1" applyBorder="1"/>
    <xf numFmtId="0" fontId="18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20" xfId="0" applyNumberFormat="1" applyBorder="1" applyAlignment="1">
      <alignment horizontal="center"/>
    </xf>
    <xf numFmtId="0" fontId="1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11" fillId="0" borderId="20" xfId="0" applyFont="1" applyBorder="1" applyAlignment="1">
      <alignment horizontal="centerContinuous" vertical="top"/>
    </xf>
    <xf numFmtId="0" fontId="0" fillId="0" borderId="20" xfId="0" applyBorder="1" applyAlignment="1">
      <alignment horizontal="centerContinuous" vertical="top"/>
    </xf>
    <xf numFmtId="3" fontId="0" fillId="0" borderId="0" xfId="0" applyNumberFormat="1" applyFill="1"/>
    <xf numFmtId="3" fontId="20" fillId="0" borderId="0" xfId="48" applyNumberFormat="1" applyFont="1" applyBorder="1"/>
    <xf numFmtId="0" fontId="53" fillId="0" borderId="18" xfId="48" applyFont="1" applyBorder="1" applyAlignment="1">
      <alignment horizontal="center" wrapText="1"/>
    </xf>
    <xf numFmtId="0" fontId="46" fillId="0" borderId="0" xfId="48" applyFont="1" applyBorder="1"/>
    <xf numFmtId="0" fontId="20" fillId="0" borderId="0" xfId="48" applyFont="1" applyBorder="1"/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191" fillId="0" borderId="0" xfId="48" applyFont="1" applyBorder="1" applyAlignment="1">
      <alignment horizontal="left"/>
    </xf>
    <xf numFmtId="0" fontId="191" fillId="0" borderId="0" xfId="48" quotePrefix="1" applyFont="1" applyBorder="1" applyAlignment="1"/>
    <xf numFmtId="0" fontId="0" fillId="0" borderId="37" xfId="0" quotePrefix="1" applyFill="1" applyBorder="1" applyAlignment="1">
      <alignment horizontal="center" wrapText="1"/>
    </xf>
    <xf numFmtId="164" fontId="0" fillId="0" borderId="0" xfId="0" applyNumberFormat="1" applyFill="1"/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20" xfId="0" applyNumberFormat="1" applyBorder="1"/>
    <xf numFmtId="0" fontId="6" fillId="0" borderId="18" xfId="0" applyFont="1" applyBorder="1" applyAlignment="1">
      <alignment horizontal="left" indent="2"/>
    </xf>
    <xf numFmtId="0" fontId="54" fillId="0" borderId="0" xfId="0" applyFont="1" applyFill="1" applyBorder="1" applyAlignment="1" applyProtection="1">
      <alignment horizontal="left"/>
      <protection locked="0"/>
    </xf>
    <xf numFmtId="0" fontId="192" fillId="0" borderId="0" xfId="0" applyFont="1"/>
    <xf numFmtId="164" fontId="10" fillId="0" borderId="0" xfId="29" applyNumberFormat="1" applyFont="1" applyFill="1" applyBorder="1"/>
    <xf numFmtId="164" fontId="11" fillId="0" borderId="0" xfId="0" applyNumberFormat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10" fillId="0" borderId="20" xfId="0" applyFont="1" applyFill="1" applyBorder="1"/>
    <xf numFmtId="164" fontId="10" fillId="0" borderId="20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43" fontId="6" fillId="0" borderId="0" xfId="29" applyNumberFormat="1"/>
    <xf numFmtId="0" fontId="6" fillId="0" borderId="20" xfId="0" applyFont="1" applyBorder="1"/>
    <xf numFmtId="43" fontId="6" fillId="0" borderId="0" xfId="29" applyNumberFormat="1" applyFont="1"/>
    <xf numFmtId="43" fontId="23" fillId="0" borderId="0" xfId="29" applyNumberFormat="1" applyFont="1"/>
    <xf numFmtId="0" fontId="47" fillId="0" borderId="13" xfId="48" applyFont="1" applyBorder="1" applyAlignment="1">
      <alignment horizontal="center"/>
    </xf>
    <xf numFmtId="167" fontId="20" fillId="0" borderId="18" xfId="52" applyNumberFormat="1" applyFont="1" applyFill="1" applyBorder="1"/>
    <xf numFmtId="1" fontId="46" fillId="0" borderId="0" xfId="49" applyNumberFormat="1" applyFont="1" applyFill="1" applyBorder="1"/>
    <xf numFmtId="1" fontId="20" fillId="0" borderId="0" xfId="48" applyNumberFormat="1" applyFont="1" applyBorder="1"/>
    <xf numFmtId="1" fontId="47" fillId="0" borderId="0" xfId="48" applyNumberFormat="1" applyFont="1" applyBorder="1"/>
    <xf numFmtId="223" fontId="0" fillId="0" borderId="0" xfId="0" applyNumberFormat="1" applyBorder="1"/>
    <xf numFmtId="164" fontId="11" fillId="0" borderId="0" xfId="29" applyNumberFormat="1" applyFont="1" applyFill="1" applyBorder="1" applyAlignment="1">
      <alignment horizontal="left"/>
    </xf>
    <xf numFmtId="164" fontId="51" fillId="0" borderId="0" xfId="29" applyNumberFormat="1" applyFont="1" applyFill="1" applyBorder="1"/>
    <xf numFmtId="169" fontId="51" fillId="0" borderId="0" xfId="30" applyNumberFormat="1" applyFont="1" applyFill="1" applyBorder="1"/>
    <xf numFmtId="0" fontId="54" fillId="0" borderId="0" xfId="0" quotePrefix="1" applyFont="1" applyFill="1" applyBorder="1" applyAlignment="1">
      <alignment horizontal="left" indent="2"/>
    </xf>
    <xf numFmtId="0" fontId="47" fillId="0" borderId="13" xfId="48" applyFont="1" applyBorder="1" applyAlignment="1">
      <alignment horizontal="center"/>
    </xf>
    <xf numFmtId="0" fontId="47" fillId="0" borderId="13" xfId="48" applyFont="1" applyBorder="1" applyAlignment="1">
      <alignment horizontal="center"/>
    </xf>
    <xf numFmtId="0" fontId="6" fillId="0" borderId="0" xfId="0" applyFont="1" applyAlignment="1"/>
    <xf numFmtId="223" fontId="0" fillId="0" borderId="27" xfId="0" applyNumberFormat="1" applyFill="1" applyBorder="1"/>
    <xf numFmtId="223" fontId="10" fillId="0" borderId="26" xfId="49" applyNumberFormat="1" applyFont="1" applyFill="1" applyBorder="1" applyAlignment="1">
      <alignment vertical="center" wrapText="1"/>
    </xf>
    <xf numFmtId="223" fontId="0" fillId="0" borderId="28" xfId="0" applyNumberFormat="1" applyFill="1" applyBorder="1"/>
    <xf numFmtId="223" fontId="0" fillId="0" borderId="0" xfId="0" applyNumberFormat="1" applyFill="1"/>
    <xf numFmtId="223" fontId="0" fillId="0" borderId="26" xfId="0" applyNumberFormat="1" applyFill="1" applyBorder="1"/>
    <xf numFmtId="0" fontId="47" fillId="0" borderId="13" xfId="48" applyFont="1" applyBorder="1" applyAlignment="1">
      <alignment horizontal="center"/>
    </xf>
    <xf numFmtId="200" fontId="0" fillId="0" borderId="0" xfId="52" applyNumberFormat="1" applyFont="1"/>
    <xf numFmtId="0" fontId="194" fillId="0" borderId="34" xfId="0" applyFont="1" applyFill="1" applyBorder="1"/>
    <xf numFmtId="0" fontId="194" fillId="0" borderId="33" xfId="0" applyFont="1" applyFill="1" applyBorder="1"/>
    <xf numFmtId="0" fontId="0" fillId="0" borderId="0" xfId="0" applyBorder="1" applyAlignment="1">
      <alignment horizontal="centerContinuous"/>
    </xf>
    <xf numFmtId="164" fontId="6" fillId="0" borderId="0" xfId="29" applyNumberFormat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54" fillId="0" borderId="0" xfId="0" quotePrefix="1" applyFont="1" applyBorder="1" applyAlignment="1">
      <alignment horizontal="left"/>
    </xf>
    <xf numFmtId="169" fontId="0" fillId="0" borderId="0" xfId="0" applyNumberFormat="1" applyBorder="1"/>
    <xf numFmtId="0" fontId="6" fillId="0" borderId="0" xfId="0" applyFont="1" applyBorder="1"/>
    <xf numFmtId="0" fontId="0" fillId="0" borderId="35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30" xfId="0" applyFill="1" applyBorder="1"/>
    <xf numFmtId="164" fontId="0" fillId="0" borderId="31" xfId="0" applyNumberFormat="1" applyFill="1" applyBorder="1"/>
    <xf numFmtId="0" fontId="0" fillId="0" borderId="30" xfId="0" quotePrefix="1" applyFill="1" applyBorder="1" applyAlignment="1">
      <alignment horizontal="left" indent="2"/>
    </xf>
    <xf numFmtId="168" fontId="6" fillId="0" borderId="31" xfId="30" applyNumberFormat="1" applyFill="1" applyBorder="1"/>
    <xf numFmtId="0" fontId="6" fillId="0" borderId="30" xfId="0" applyFont="1" applyFill="1" applyBorder="1" applyAlignment="1">
      <alignment horizontal="left" indent="2"/>
    </xf>
    <xf numFmtId="0" fontId="0" fillId="0" borderId="30" xfId="0" applyFill="1" applyBorder="1" applyAlignment="1">
      <alignment horizontal="left" indent="2"/>
    </xf>
    <xf numFmtId="168" fontId="6" fillId="0" borderId="34" xfId="30" applyNumberFormat="1" applyFill="1" applyBorder="1"/>
    <xf numFmtId="168" fontId="6" fillId="0" borderId="33" xfId="30" applyNumberFormat="1" applyFill="1" applyBorder="1"/>
    <xf numFmtId="0" fontId="0" fillId="0" borderId="35" xfId="0" applyFill="1" applyBorder="1" applyAlignment="1">
      <alignment horizontal="center" wrapText="1"/>
    </xf>
    <xf numFmtId="17" fontId="0" fillId="0" borderId="37" xfId="0" applyNumberFormat="1" applyFill="1" applyBorder="1" applyAlignment="1">
      <alignment horizontal="center" wrapText="1"/>
    </xf>
    <xf numFmtId="17" fontId="0" fillId="0" borderId="36" xfId="0" applyNumberFormat="1" applyFill="1" applyBorder="1" applyAlignment="1">
      <alignment horizontal="center" wrapText="1"/>
    </xf>
    <xf numFmtId="0" fontId="0" fillId="0" borderId="30" xfId="0" quotePrefix="1" applyFill="1" applyBorder="1" applyAlignment="1">
      <alignment horizontal="left"/>
    </xf>
    <xf numFmtId="164" fontId="6" fillId="0" borderId="31" xfId="29" applyNumberFormat="1" applyBorder="1"/>
    <xf numFmtId="0" fontId="0" fillId="0" borderId="31" xfId="0" applyFill="1" applyBorder="1"/>
    <xf numFmtId="0" fontId="6" fillId="0" borderId="74" xfId="0" quotePrefix="1" applyFont="1" applyFill="1" applyBorder="1" applyAlignment="1">
      <alignment horizontal="left" wrapText="1"/>
    </xf>
    <xf numFmtId="0" fontId="0" fillId="0" borderId="29" xfId="0" quotePrefix="1" applyFill="1" applyBorder="1" applyAlignment="1">
      <alignment horizontal="center" wrapText="1"/>
    </xf>
    <xf numFmtId="0" fontId="47" fillId="0" borderId="13" xfId="48" applyFont="1" applyBorder="1" applyAlignment="1">
      <alignment horizontal="center"/>
    </xf>
    <xf numFmtId="0" fontId="195" fillId="0" borderId="0" xfId="49" applyFont="1"/>
    <xf numFmtId="0" fontId="6" fillId="0" borderId="0" xfId="49"/>
    <xf numFmtId="0" fontId="6" fillId="0" borderId="0" xfId="42572" applyNumberFormat="1" applyAlignment="1"/>
    <xf numFmtId="0" fontId="11" fillId="0" borderId="15" xfId="49" applyFont="1" applyBorder="1" applyAlignment="1">
      <alignment horizontal="center" vertical="justify" wrapText="1"/>
    </xf>
    <xf numFmtId="0" fontId="11" fillId="0" borderId="16" xfId="49" applyFont="1" applyBorder="1" applyAlignment="1">
      <alignment horizontal="center" vertical="justify" wrapText="1"/>
    </xf>
    <xf numFmtId="0" fontId="11" fillId="0" borderId="22" xfId="49" applyFont="1" applyBorder="1" applyAlignment="1">
      <alignment horizontal="center" vertical="justify" wrapText="1"/>
    </xf>
    <xf numFmtId="0" fontId="11" fillId="0" borderId="22" xfId="49" applyFont="1" applyBorder="1" applyAlignment="1">
      <alignment horizontal="left"/>
    </xf>
    <xf numFmtId="0" fontId="11" fillId="0" borderId="15" xfId="49" applyFont="1" applyBorder="1" applyAlignment="1">
      <alignment horizontal="left"/>
    </xf>
    <xf numFmtId="0" fontId="11" fillId="0" borderId="6" xfId="49" applyFont="1" applyBorder="1" applyAlignment="1">
      <alignment horizontal="center" vertical="justify" wrapText="1"/>
    </xf>
    <xf numFmtId="0" fontId="11" fillId="0" borderId="19" xfId="49" applyFont="1" applyBorder="1" applyAlignment="1">
      <alignment horizontal="center" vertical="center" wrapText="1"/>
    </xf>
    <xf numFmtId="0" fontId="11" fillId="0" borderId="21" xfId="49" applyFont="1" applyBorder="1" applyAlignment="1">
      <alignment horizontal="center" vertical="center" wrapText="1"/>
    </xf>
    <xf numFmtId="0" fontId="11" fillId="0" borderId="20" xfId="49" applyFont="1" applyBorder="1" applyAlignment="1">
      <alignment horizontal="center" vertical="center" wrapText="1"/>
    </xf>
    <xf numFmtId="0" fontId="11" fillId="0" borderId="24" xfId="49" applyFont="1" applyBorder="1" applyAlignment="1">
      <alignment horizontal="center" vertical="center" wrapText="1"/>
    </xf>
    <xf numFmtId="0" fontId="6" fillId="0" borderId="15" xfId="49" applyFill="1" applyBorder="1"/>
    <xf numFmtId="0" fontId="6" fillId="0" borderId="18" xfId="49" applyFill="1" applyBorder="1"/>
    <xf numFmtId="1" fontId="6" fillId="0" borderId="13" xfId="49" applyNumberFormat="1" applyFill="1" applyBorder="1"/>
    <xf numFmtId="3" fontId="6" fillId="0" borderId="13" xfId="49" applyNumberFormat="1" applyFill="1" applyBorder="1"/>
    <xf numFmtId="37" fontId="6" fillId="0" borderId="16" xfId="49" applyNumberFormat="1" applyFill="1" applyBorder="1"/>
    <xf numFmtId="0" fontId="6" fillId="0" borderId="0" xfId="49" applyFill="1" applyBorder="1"/>
    <xf numFmtId="1" fontId="6" fillId="0" borderId="0" xfId="49" applyNumberFormat="1" applyFill="1" applyBorder="1"/>
    <xf numFmtId="3" fontId="6" fillId="0" borderId="0" xfId="49" applyNumberFormat="1" applyFill="1" applyBorder="1"/>
    <xf numFmtId="37" fontId="6" fillId="0" borderId="18" xfId="49" applyNumberFormat="1" applyFill="1" applyBorder="1"/>
    <xf numFmtId="0" fontId="6" fillId="0" borderId="17" xfId="49" applyFill="1" applyBorder="1"/>
    <xf numFmtId="3" fontId="6" fillId="0" borderId="0" xfId="42572" quotePrefix="1" applyNumberFormat="1" applyBorder="1" applyAlignment="1">
      <alignment wrapText="1"/>
    </xf>
    <xf numFmtId="3" fontId="11" fillId="0" borderId="0" xfId="29" applyNumberFormat="1" applyFont="1" applyFill="1" applyBorder="1"/>
    <xf numFmtId="3" fontId="6" fillId="0" borderId="0" xfId="29" applyNumberFormat="1" applyFill="1" applyBorder="1"/>
    <xf numFmtId="3" fontId="11" fillId="0" borderId="0" xfId="49" applyNumberFormat="1" applyFont="1" applyFill="1" applyBorder="1"/>
    <xf numFmtId="164" fontId="6" fillId="0" borderId="0" xfId="49" applyNumberFormat="1" applyBorder="1"/>
    <xf numFmtId="1" fontId="6" fillId="0" borderId="0" xfId="42572" quotePrefix="1" applyNumberFormat="1" applyBorder="1" applyAlignment="1"/>
    <xf numFmtId="3" fontId="6" fillId="0" borderId="0" xfId="42572" quotePrefix="1" applyNumberFormat="1" applyBorder="1" applyAlignment="1"/>
    <xf numFmtId="3" fontId="11" fillId="0" borderId="0" xfId="49" applyNumberFormat="1" applyFont="1" applyBorder="1"/>
    <xf numFmtId="0" fontId="6" fillId="0" borderId="19" xfId="49" applyFill="1" applyBorder="1"/>
    <xf numFmtId="1" fontId="6" fillId="0" borderId="20" xfId="49" applyNumberFormat="1" applyFill="1" applyBorder="1"/>
    <xf numFmtId="3" fontId="6" fillId="0" borderId="20" xfId="49" applyNumberFormat="1" applyFill="1" applyBorder="1"/>
    <xf numFmtId="37" fontId="6" fillId="0" borderId="21" xfId="49" applyNumberFormat="1" applyFont="1" applyFill="1" applyBorder="1"/>
    <xf numFmtId="164" fontId="6" fillId="0" borderId="27" xfId="49" applyNumberFormat="1" applyFill="1" applyBorder="1"/>
    <xf numFmtId="3" fontId="6" fillId="0" borderId="0" xfId="42572" applyNumberFormat="1" applyFill="1" applyBorder="1" applyAlignment="1"/>
    <xf numFmtId="0" fontId="11" fillId="0" borderId="24" xfId="49" applyFont="1" applyFill="1" applyBorder="1"/>
    <xf numFmtId="3" fontId="11" fillId="0" borderId="22" xfId="49" applyNumberFormat="1" applyFont="1" applyFill="1" applyBorder="1"/>
    <xf numFmtId="0" fontId="11" fillId="0" borderId="22" xfId="49" applyFont="1" applyFill="1" applyBorder="1"/>
    <xf numFmtId="0" fontId="11" fillId="0" borderId="25" xfId="49" applyFont="1" applyFill="1" applyBorder="1"/>
    <xf numFmtId="37" fontId="11" fillId="0" borderId="21" xfId="49" applyNumberFormat="1" applyFont="1" applyFill="1" applyBorder="1"/>
    <xf numFmtId="37" fontId="11" fillId="0" borderId="22" xfId="49" applyNumberFormat="1" applyFont="1" applyFill="1" applyBorder="1"/>
    <xf numFmtId="37" fontId="11" fillId="0" borderId="25" xfId="49" applyNumberFormat="1" applyFont="1" applyFill="1" applyBorder="1"/>
    <xf numFmtId="0" fontId="11" fillId="0" borderId="0" xfId="49" applyFont="1" applyFill="1"/>
    <xf numFmtId="0" fontId="6" fillId="0" borderId="0" xfId="49" applyFill="1"/>
    <xf numFmtId="37" fontId="6" fillId="0" borderId="0" xfId="49" applyNumberFormat="1" applyFill="1"/>
    <xf numFmtId="37" fontId="11" fillId="0" borderId="6" xfId="49" applyNumberFormat="1" applyFont="1" applyFill="1" applyBorder="1"/>
    <xf numFmtId="0" fontId="196" fillId="0" borderId="0" xfId="49" applyFont="1"/>
    <xf numFmtId="0" fontId="197" fillId="0" borderId="0" xfId="49" applyFont="1"/>
    <xf numFmtId="49" fontId="27" fillId="0" borderId="0" xfId="49" applyNumberFormat="1" applyFont="1" applyAlignment="1">
      <alignment horizontal="left" vertical="center"/>
    </xf>
    <xf numFmtId="0" fontId="6" fillId="0" borderId="0" xfId="49" applyAlignment="1">
      <alignment vertical="justify" wrapText="1"/>
    </xf>
    <xf numFmtId="0" fontId="11" fillId="0" borderId="22" xfId="49" applyFont="1" applyBorder="1" applyAlignment="1">
      <alignment horizontal="center" vertical="center" wrapText="1"/>
    </xf>
    <xf numFmtId="0" fontId="11" fillId="0" borderId="22" xfId="49" applyFont="1" applyBorder="1" applyAlignment="1">
      <alignment vertical="center" wrapText="1"/>
    </xf>
    <xf numFmtId="0" fontId="6" fillId="0" borderId="13" xfId="49" applyBorder="1" applyAlignment="1">
      <alignment horizontal="center"/>
    </xf>
    <xf numFmtId="0" fontId="6" fillId="0" borderId="28" xfId="49" applyBorder="1"/>
    <xf numFmtId="0" fontId="6" fillId="0" borderId="0" xfId="49" applyBorder="1" applyAlignment="1">
      <alignment horizontal="center"/>
    </xf>
    <xf numFmtId="0" fontId="6" fillId="0" borderId="26" xfId="49" applyBorder="1"/>
    <xf numFmtId="0" fontId="6" fillId="0" borderId="26" xfId="42572" applyNumberFormat="1" applyBorder="1" applyAlignment="1"/>
    <xf numFmtId="17" fontId="6" fillId="0" borderId="0" xfId="42572" applyNumberFormat="1" applyAlignment="1"/>
    <xf numFmtId="0" fontId="6" fillId="0" borderId="20" xfId="49" applyBorder="1" applyAlignment="1">
      <alignment horizontal="center"/>
    </xf>
    <xf numFmtId="0" fontId="6" fillId="0" borderId="27" xfId="49" applyBorder="1"/>
    <xf numFmtId="0" fontId="27" fillId="0" borderId="0" xfId="49" applyFont="1"/>
    <xf numFmtId="0" fontId="11" fillId="0" borderId="0" xfId="49" applyFont="1"/>
    <xf numFmtId="164" fontId="10" fillId="0" borderId="0" xfId="0" applyNumberFormat="1" applyFont="1" applyFill="1" applyBorder="1" applyAlignment="1">
      <alignment horizontal="left"/>
    </xf>
    <xf numFmtId="37" fontId="10" fillId="0" borderId="13" xfId="0" applyNumberFormat="1" applyFont="1" applyFill="1" applyBorder="1"/>
    <xf numFmtId="0" fontId="11" fillId="0" borderId="0" xfId="0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0" fontId="18" fillId="0" borderId="0" xfId="0" applyFont="1" applyBorder="1" applyAlignment="1">
      <alignment horizontal="center"/>
    </xf>
    <xf numFmtId="164" fontId="0" fillId="0" borderId="0" xfId="0" applyNumberFormat="1" applyBorder="1"/>
    <xf numFmtId="37" fontId="0" fillId="0" borderId="0" xfId="0" applyNumberFormat="1" applyBorder="1"/>
    <xf numFmtId="0" fontId="6" fillId="0" borderId="0" xfId="35878" applyFont="1" applyFill="1"/>
    <xf numFmtId="0" fontId="11" fillId="0" borderId="0" xfId="35878" applyFont="1" applyFill="1" applyBorder="1" applyAlignment="1">
      <alignment horizontal="center"/>
    </xf>
    <xf numFmtId="0" fontId="6" fillId="0" borderId="0" xfId="35878" applyFill="1"/>
    <xf numFmtId="0" fontId="11" fillId="0" borderId="0" xfId="35878" applyFont="1" applyFill="1" applyAlignment="1" applyProtection="1">
      <alignment horizontal="centerContinuous"/>
      <protection locked="0"/>
    </xf>
    <xf numFmtId="0" fontId="11" fillId="0" borderId="0" xfId="35878" applyFont="1" applyFill="1" applyAlignment="1">
      <alignment horizontal="centerContinuous"/>
    </xf>
    <xf numFmtId="0" fontId="6" fillId="0" borderId="0" xfId="35878" applyFont="1" applyFill="1" applyAlignment="1">
      <alignment horizontal="center"/>
    </xf>
    <xf numFmtId="0" fontId="11" fillId="0" borderId="0" xfId="35878" applyFont="1" applyFill="1" applyAlignment="1" applyProtection="1">
      <alignment horizontal="center"/>
      <protection locked="0"/>
    </xf>
    <xf numFmtId="0" fontId="11" fillId="0" borderId="0" xfId="35878" applyFont="1" applyFill="1" applyProtection="1">
      <protection locked="0"/>
    </xf>
    <xf numFmtId="0" fontId="6" fillId="0" borderId="0" xfId="35878" applyFill="1" applyBorder="1"/>
    <xf numFmtId="0" fontId="11" fillId="0" borderId="20" xfId="35878" applyFont="1" applyFill="1" applyBorder="1" applyAlignment="1" applyProtection="1">
      <alignment horizontal="center"/>
      <protection locked="0"/>
    </xf>
    <xf numFmtId="0" fontId="11" fillId="0" borderId="20" xfId="35878" applyFont="1" applyFill="1" applyBorder="1"/>
    <xf numFmtId="0" fontId="6" fillId="0" borderId="20" xfId="35878" applyFont="1" applyFill="1" applyBorder="1"/>
    <xf numFmtId="0" fontId="11" fillId="0" borderId="0" xfId="35878" applyFont="1" applyFill="1" applyBorder="1" applyAlignment="1">
      <alignment horizontal="centerContinuous" vertical="top"/>
    </xf>
    <xf numFmtId="0" fontId="6" fillId="0" borderId="0" xfId="35878" applyFill="1" applyBorder="1" applyAlignment="1">
      <alignment horizontal="centerContinuous" vertical="top"/>
    </xf>
    <xf numFmtId="0" fontId="6" fillId="0" borderId="0" xfId="35878" applyFill="1" applyBorder="1" applyAlignment="1">
      <alignment vertical="top"/>
    </xf>
    <xf numFmtId="0" fontId="12" fillId="0" borderId="0" xfId="35878" applyFont="1" applyFill="1"/>
    <xf numFmtId="0" fontId="13" fillId="0" borderId="0" xfId="35878" applyFont="1" applyFill="1" applyBorder="1"/>
    <xf numFmtId="0" fontId="12" fillId="0" borderId="0" xfId="35878" applyFont="1" applyFill="1" applyBorder="1"/>
    <xf numFmtId="0" fontId="8" fillId="0" borderId="0" xfId="35878" applyFont="1" applyFill="1" applyAlignment="1" applyProtection="1">
      <alignment horizontal="center"/>
      <protection locked="0"/>
    </xf>
    <xf numFmtId="0" fontId="8" fillId="0" borderId="0" xfId="35878" applyFont="1" applyFill="1"/>
    <xf numFmtId="0" fontId="15" fillId="0" borderId="0" xfId="35878" quotePrefix="1" applyFont="1" applyFill="1" applyAlignment="1">
      <alignment horizontal="center"/>
    </xf>
    <xf numFmtId="0" fontId="15" fillId="0" borderId="0" xfId="35878" applyFont="1" applyFill="1" applyBorder="1" applyAlignment="1">
      <alignment horizontal="center"/>
    </xf>
    <xf numFmtId="37" fontId="15" fillId="0" borderId="0" xfId="35878" applyNumberFormat="1" applyFont="1" applyFill="1" applyBorder="1" applyAlignment="1">
      <alignment horizontal="center"/>
    </xf>
    <xf numFmtId="0" fontId="18" fillId="0" borderId="0" xfId="35878" applyFont="1" applyFill="1" applyBorder="1" applyAlignment="1">
      <alignment horizontal="center"/>
    </xf>
    <xf numFmtId="0" fontId="6" fillId="0" borderId="0" xfId="35878" applyFont="1" applyFill="1" applyBorder="1"/>
    <xf numFmtId="0" fontId="16" fillId="0" borderId="0" xfId="35878" quotePrefix="1" applyFont="1" applyFill="1" applyBorder="1" applyAlignment="1">
      <alignment horizontal="center"/>
    </xf>
    <xf numFmtId="0" fontId="16" fillId="0" borderId="0" xfId="35878" applyFont="1" applyFill="1" applyBorder="1" applyAlignment="1">
      <alignment horizontal="center"/>
    </xf>
    <xf numFmtId="37" fontId="16" fillId="0" borderId="0" xfId="35878" applyNumberFormat="1" applyFont="1" applyFill="1" applyBorder="1" applyAlignment="1">
      <alignment horizontal="center"/>
    </xf>
    <xf numFmtId="167" fontId="17" fillId="0" borderId="0" xfId="0" applyNumberFormat="1" applyFont="1" applyFill="1" applyAlignment="1">
      <alignment horizontal="center"/>
    </xf>
    <xf numFmtId="167" fontId="17" fillId="0" borderId="0" xfId="0" applyNumberFormat="1" applyFont="1" applyFill="1" applyAlignment="1">
      <alignment horizontal="left"/>
    </xf>
    <xf numFmtId="37" fontId="6" fillId="0" borderId="0" xfId="35878" applyNumberFormat="1" applyFill="1" applyBorder="1"/>
    <xf numFmtId="164" fontId="54" fillId="0" borderId="0" xfId="29" applyNumberFormat="1" applyFont="1" applyFill="1" applyBorder="1"/>
    <xf numFmtId="0" fontId="198" fillId="0" borderId="0" xfId="35878" applyFont="1" applyFill="1"/>
    <xf numFmtId="37" fontId="6" fillId="0" borderId="0" xfId="29" applyNumberFormat="1" applyFont="1" applyFill="1"/>
    <xf numFmtId="9" fontId="6" fillId="0" borderId="0" xfId="35878" applyNumberFormat="1" applyFill="1"/>
    <xf numFmtId="37" fontId="6" fillId="0" borderId="0" xfId="35878" applyNumberFormat="1" applyFont="1" applyFill="1"/>
    <xf numFmtId="0" fontId="6" fillId="0" borderId="0" xfId="0" applyFont="1" applyFill="1" applyAlignment="1">
      <alignment horizontal="left"/>
    </xf>
    <xf numFmtId="0" fontId="18" fillId="0" borderId="0" xfId="35878" applyFont="1" applyFill="1" applyAlignment="1">
      <alignment horizontal="left"/>
    </xf>
    <xf numFmtId="0" fontId="6" fillId="0" borderId="0" xfId="35878" applyFont="1" applyFill="1" applyAlignment="1">
      <alignment vertical="center"/>
    </xf>
    <xf numFmtId="0" fontId="6" fillId="0" borderId="0" xfId="35878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0" fontId="6" fillId="0" borderId="20" xfId="0" applyFont="1" applyFill="1" applyBorder="1"/>
    <xf numFmtId="42" fontId="6" fillId="0" borderId="0" xfId="35878" applyNumberFormat="1" applyFill="1"/>
    <xf numFmtId="37" fontId="6" fillId="0" borderId="0" xfId="35878" applyNumberFormat="1" applyFill="1"/>
    <xf numFmtId="0" fontId="198" fillId="0" borderId="0" xfId="35878" applyFont="1" applyFill="1" applyAlignment="1">
      <alignment horizontal="right"/>
    </xf>
    <xf numFmtId="37" fontId="198" fillId="0" borderId="0" xfId="35878" applyNumberFormat="1" applyFont="1" applyFill="1" applyAlignment="1">
      <alignment horizontal="center"/>
    </xf>
    <xf numFmtId="42" fontId="198" fillId="0" borderId="0" xfId="35878" applyNumberFormat="1" applyFont="1" applyFill="1" applyAlignment="1">
      <alignment horizontal="center"/>
    </xf>
    <xf numFmtId="0" fontId="6" fillId="0" borderId="0" xfId="35878" applyFont="1" applyFill="1" applyBorder="1" applyAlignment="1">
      <alignment horizontal="left"/>
    </xf>
    <xf numFmtId="193" fontId="6" fillId="0" borderId="0" xfId="35878" applyNumberFormat="1" applyFont="1" applyFill="1" applyBorder="1" applyAlignment="1">
      <alignment horizontal="right"/>
    </xf>
    <xf numFmtId="42" fontId="6" fillId="0" borderId="0" xfId="30" applyNumberFormat="1" applyFont="1" applyFill="1" applyBorder="1" applyAlignment="1">
      <alignment horizontal="right"/>
    </xf>
    <xf numFmtId="41" fontId="6" fillId="0" borderId="20" xfId="35878" applyNumberFormat="1" applyFont="1" applyFill="1" applyBorder="1" applyAlignment="1">
      <alignment horizontal="right"/>
    </xf>
    <xf numFmtId="165" fontId="6" fillId="0" borderId="0" xfId="35878" applyNumberFormat="1" applyFont="1" applyFill="1" applyBorder="1"/>
    <xf numFmtId="37" fontId="6" fillId="0" borderId="0" xfId="35878" applyNumberFormat="1" applyFont="1" applyFill="1" applyBorder="1" applyAlignment="1">
      <alignment horizontal="right"/>
    </xf>
    <xf numFmtId="41" fontId="6" fillId="0" borderId="0" xfId="35878" applyNumberFormat="1" applyFill="1"/>
    <xf numFmtId="37" fontId="6" fillId="0" borderId="0" xfId="35878" applyNumberFormat="1" applyFont="1" applyFill="1" applyBorder="1"/>
    <xf numFmtId="200" fontId="6" fillId="0" borderId="0" xfId="35878" applyNumberFormat="1" applyFont="1" applyFill="1" applyBorder="1" applyAlignment="1">
      <alignment horizontal="right"/>
    </xf>
    <xf numFmtId="42" fontId="6" fillId="0" borderId="20" xfId="30" applyNumberFormat="1" applyFont="1" applyFill="1" applyBorder="1" applyAlignment="1">
      <alignment horizontal="right"/>
    </xf>
    <xf numFmtId="0" fontId="6" fillId="0" borderId="0" xfId="35878" applyFill="1" applyAlignment="1">
      <alignment vertical="top"/>
    </xf>
    <xf numFmtId="0" fontId="6" fillId="0" borderId="0" xfId="35878" applyFont="1" applyFill="1" applyBorder="1" applyAlignment="1">
      <alignment horizontal="right"/>
    </xf>
    <xf numFmtId="0" fontId="6" fillId="0" borderId="20" xfId="35878" applyFill="1" applyBorder="1"/>
    <xf numFmtId="9" fontId="6" fillId="0" borderId="0" xfId="35878" applyNumberFormat="1" applyFont="1" applyFill="1" applyBorder="1" applyAlignment="1">
      <alignment horizontal="right"/>
    </xf>
    <xf numFmtId="41" fontId="6" fillId="0" borderId="20" xfId="35878" applyNumberFormat="1" applyFill="1" applyBorder="1"/>
    <xf numFmtId="42" fontId="11" fillId="0" borderId="0" xfId="29" applyNumberFormat="1" applyFont="1" applyFill="1" applyBorder="1" applyAlignment="1">
      <alignment horizontal="right"/>
    </xf>
    <xf numFmtId="42" fontId="6" fillId="0" borderId="23" xfId="35878" applyNumberFormat="1" applyFill="1" applyBorder="1"/>
    <xf numFmtId="0" fontId="6" fillId="0" borderId="0" xfId="35878" applyFont="1" applyFill="1" applyAlignment="1" applyProtection="1">
      <alignment horizontal="center"/>
      <protection locked="0"/>
    </xf>
    <xf numFmtId="17" fontId="6" fillId="0" borderId="0" xfId="35878" applyNumberFormat="1" applyFill="1" applyBorder="1" applyAlignment="1">
      <alignment horizontal="center"/>
    </xf>
    <xf numFmtId="17" fontId="6" fillId="0" borderId="0" xfId="0" applyNumberFormat="1" applyFont="1" applyFill="1"/>
    <xf numFmtId="37" fontId="6" fillId="0" borderId="0" xfId="29" applyNumberFormat="1" applyFont="1" applyFill="1" applyBorder="1"/>
    <xf numFmtId="37" fontId="6" fillId="0" borderId="0" xfId="35878" applyNumberFormat="1" applyFont="1" applyFill="1" applyAlignment="1">
      <alignment horizontal="right"/>
    </xf>
    <xf numFmtId="37" fontId="6" fillId="0" borderId="13" xfId="35878" applyNumberFormat="1" applyFont="1" applyFill="1" applyBorder="1"/>
    <xf numFmtId="37" fontId="11" fillId="0" borderId="13" xfId="35878" applyNumberFormat="1" applyFont="1" applyFill="1" applyBorder="1"/>
    <xf numFmtId="42" fontId="6" fillId="0" borderId="0" xfId="30" applyNumberFormat="1" applyFont="1" applyFill="1"/>
    <xf numFmtId="41" fontId="6" fillId="0" borderId="0" xfId="30" applyNumberFormat="1" applyFont="1" applyFill="1"/>
    <xf numFmtId="42" fontId="11" fillId="0" borderId="13" xfId="35878" applyNumberFormat="1" applyFont="1" applyFill="1" applyBorder="1"/>
    <xf numFmtId="169" fontId="0" fillId="0" borderId="35" xfId="0" applyNumberFormat="1" applyFont="1" applyFill="1" applyBorder="1"/>
    <xf numFmtId="169" fontId="0" fillId="0" borderId="76" xfId="0" applyNumberFormat="1" applyFont="1" applyFill="1" applyBorder="1"/>
    <xf numFmtId="169" fontId="0" fillId="0" borderId="36" xfId="0" applyNumberFormat="1" applyFont="1" applyFill="1" applyBorder="1"/>
    <xf numFmtId="169" fontId="0" fillId="0" borderId="30" xfId="0" applyNumberFormat="1" applyFont="1" applyFill="1" applyBorder="1"/>
    <xf numFmtId="169" fontId="0" fillId="0" borderId="0" xfId="0" applyNumberFormat="1" applyFont="1" applyFill="1" applyBorder="1"/>
    <xf numFmtId="169" fontId="0" fillId="0" borderId="31" xfId="0" applyNumberFormat="1" applyFont="1" applyFill="1" applyBorder="1"/>
    <xf numFmtId="0" fontId="0" fillId="0" borderId="0" xfId="0" quotePrefix="1" applyFill="1" applyBorder="1" applyAlignment="1">
      <alignment horizontal="left"/>
    </xf>
    <xf numFmtId="10" fontId="23" fillId="0" borderId="0" xfId="52" applyNumberFormat="1" applyFont="1" applyFill="1" applyBorder="1"/>
    <xf numFmtId="0" fontId="11" fillId="0" borderId="0" xfId="0" applyFont="1" applyFill="1" applyAlignment="1">
      <alignment horizontal="center"/>
    </xf>
    <xf numFmtId="164" fontId="6" fillId="0" borderId="0" xfId="29" applyNumberFormat="1" applyFill="1"/>
    <xf numFmtId="164" fontId="6" fillId="0" borderId="0" xfId="29" applyNumberFormat="1" applyFont="1" applyFill="1"/>
    <xf numFmtId="17" fontId="11" fillId="0" borderId="0" xfId="0" applyNumberFormat="1" applyFont="1" applyFill="1" applyAlignment="1">
      <alignment horizontal="center"/>
    </xf>
    <xf numFmtId="17" fontId="0" fillId="0" borderId="0" xfId="0" applyNumberFormat="1" applyFill="1"/>
    <xf numFmtId="17" fontId="0" fillId="0" borderId="0" xfId="0" applyNumberFormat="1" applyFill="1" applyBorder="1"/>
    <xf numFmtId="0" fontId="51" fillId="0" borderId="0" xfId="0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0" fillId="0" borderId="0" xfId="29" applyNumberFormat="1" applyFont="1" applyFill="1" applyBorder="1"/>
    <xf numFmtId="164" fontId="19" fillId="0" borderId="0" xfId="0" applyNumberFormat="1" applyFont="1" applyFill="1"/>
    <xf numFmtId="164" fontId="19" fillId="0" borderId="0" xfId="0" applyNumberFormat="1" applyFont="1" applyFill="1" applyBorder="1"/>
    <xf numFmtId="0" fontId="11" fillId="0" borderId="20" xfId="49" applyNumberFormat="1" applyFont="1" applyFill="1" applyBorder="1" applyAlignment="1">
      <alignment horizontal="center" vertical="center" wrapText="1"/>
    </xf>
    <xf numFmtId="0" fontId="11" fillId="0" borderId="20" xfId="49" applyFont="1" applyFill="1" applyBorder="1" applyAlignment="1">
      <alignment horizontal="center" vertical="center" wrapText="1"/>
    </xf>
    <xf numFmtId="0" fontId="11" fillId="0" borderId="24" xfId="49" applyFont="1" applyFill="1" applyBorder="1" applyAlignment="1">
      <alignment horizontal="center" vertical="center" wrapText="1"/>
    </xf>
    <xf numFmtId="0" fontId="11" fillId="0" borderId="25" xfId="49" applyFont="1" applyFill="1" applyBorder="1" applyAlignment="1">
      <alignment horizontal="center" vertical="center" wrapText="1"/>
    </xf>
    <xf numFmtId="0" fontId="11" fillId="0" borderId="21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horizontal="center" vertical="center" wrapText="1"/>
    </xf>
    <xf numFmtId="0" fontId="6" fillId="0" borderId="0" xfId="42572" applyNumberFormat="1" applyFill="1" applyAlignment="1"/>
    <xf numFmtId="0" fontId="17" fillId="0" borderId="0" xfId="42572" applyNumberFormat="1" applyFont="1" applyFill="1" applyAlignment="1">
      <alignment horizontal="center"/>
    </xf>
    <xf numFmtId="37" fontId="11" fillId="0" borderId="15" xfId="29" applyNumberFormat="1" applyFont="1" applyFill="1" applyBorder="1"/>
    <xf numFmtId="37" fontId="6" fillId="0" borderId="0" xfId="29" applyNumberFormat="1" applyFill="1" applyBorder="1"/>
    <xf numFmtId="37" fontId="11" fillId="0" borderId="28" xfId="49" applyNumberFormat="1" applyFont="1" applyFill="1" applyBorder="1"/>
    <xf numFmtId="164" fontId="6" fillId="0" borderId="28" xfId="49" applyNumberFormat="1" applyFill="1" applyBorder="1"/>
    <xf numFmtId="167" fontId="6" fillId="0" borderId="0" xfId="52" applyNumberFormat="1" applyFill="1"/>
    <xf numFmtId="3" fontId="6" fillId="0" borderId="0" xfId="42572" applyNumberFormat="1" applyFill="1" applyAlignment="1"/>
    <xf numFmtId="1" fontId="6" fillId="0" borderId="0" xfId="42572" quotePrefix="1" applyNumberFormat="1" applyFill="1" applyBorder="1" applyAlignment="1"/>
    <xf numFmtId="3" fontId="6" fillId="0" borderId="0" xfId="42572" quotePrefix="1" applyNumberFormat="1" applyFill="1" applyBorder="1" applyAlignment="1"/>
    <xf numFmtId="37" fontId="11" fillId="0" borderId="17" xfId="29" applyNumberFormat="1" applyFont="1" applyFill="1" applyBorder="1"/>
    <xf numFmtId="37" fontId="11" fillId="0" borderId="26" xfId="49" applyNumberFormat="1" applyFont="1" applyFill="1" applyBorder="1"/>
    <xf numFmtId="164" fontId="6" fillId="0" borderId="26" xfId="49" applyNumberFormat="1" applyFill="1" applyBorder="1"/>
    <xf numFmtId="37" fontId="11" fillId="0" borderId="17" xfId="49" applyNumberFormat="1" applyFont="1" applyFill="1" applyBorder="1"/>
    <xf numFmtId="37" fontId="6" fillId="0" borderId="18" xfId="29" applyNumberFormat="1" applyFill="1" applyBorder="1"/>
    <xf numFmtId="3" fontId="6" fillId="0" borderId="18" xfId="49" applyNumberFormat="1" applyFill="1" applyBorder="1"/>
    <xf numFmtId="37" fontId="11" fillId="0" borderId="0" xfId="29" applyNumberFormat="1" applyFont="1" applyFill="1" applyBorder="1"/>
    <xf numFmtId="37" fontId="11" fillId="0" borderId="19" xfId="29" applyNumberFormat="1" applyFont="1" applyFill="1" applyBorder="1"/>
    <xf numFmtId="37" fontId="6" fillId="0" borderId="20" xfId="29" applyNumberFormat="1" applyFont="1" applyFill="1" applyBorder="1"/>
    <xf numFmtId="37" fontId="11" fillId="0" borderId="27" xfId="49" applyNumberFormat="1" applyFont="1" applyFill="1" applyBorder="1"/>
    <xf numFmtId="37" fontId="6" fillId="0" borderId="0" xfId="52" applyNumberFormat="1" applyFill="1"/>
    <xf numFmtId="0" fontId="51" fillId="0" borderId="0" xfId="49" applyFont="1" applyFill="1"/>
    <xf numFmtId="43" fontId="6" fillId="0" borderId="0" xfId="49" applyNumberFormat="1" applyFill="1" applyBorder="1"/>
    <xf numFmtId="0" fontId="6" fillId="0" borderId="0" xfId="49" applyFill="1" applyAlignment="1">
      <alignment vertical="justify" wrapText="1"/>
    </xf>
    <xf numFmtId="38" fontId="6" fillId="0" borderId="0" xfId="42572" applyNumberFormat="1" applyFill="1" applyBorder="1" applyAlignment="1"/>
    <xf numFmtId="37" fontId="6" fillId="0" borderId="0" xfId="42572" applyNumberFormat="1" applyFont="1" applyFill="1" applyAlignment="1"/>
    <xf numFmtId="39" fontId="6" fillId="0" borderId="0" xfId="42572" applyNumberFormat="1" applyFont="1" applyFill="1" applyAlignment="1">
      <alignment horizontal="right"/>
    </xf>
    <xf numFmtId="0" fontId="11" fillId="0" borderId="6" xfId="49" applyFont="1" applyFill="1" applyBorder="1" applyAlignment="1">
      <alignment vertical="center" wrapText="1"/>
    </xf>
    <xf numFmtId="0" fontId="11" fillId="0" borderId="25" xfId="49" applyFont="1" applyFill="1" applyBorder="1" applyAlignment="1">
      <alignment vertical="center" wrapText="1"/>
    </xf>
    <xf numFmtId="0" fontId="6" fillId="0" borderId="28" xfId="49" applyFill="1" applyBorder="1"/>
    <xf numFmtId="0" fontId="6" fillId="0" borderId="26" xfId="49" applyFill="1" applyBorder="1"/>
    <xf numFmtId="0" fontId="6" fillId="0" borderId="27" xfId="49" applyFill="1" applyBorder="1"/>
    <xf numFmtId="0" fontId="27" fillId="0" borderId="0" xfId="35878" applyFont="1" applyFill="1" applyBorder="1" applyAlignment="1">
      <alignment horizontal="center"/>
    </xf>
    <xf numFmtId="0" fontId="27" fillId="0" borderId="0" xfId="35878" applyFont="1" applyFill="1" applyAlignment="1">
      <alignment horizontal="center"/>
    </xf>
    <xf numFmtId="0" fontId="27" fillId="0" borderId="0" xfId="0" applyFont="1" applyAlignment="1">
      <alignment horizontal="center"/>
    </xf>
    <xf numFmtId="0" fontId="11" fillId="0" borderId="74" xfId="0" quotePrefix="1" applyFont="1" applyFill="1" applyBorder="1" applyAlignment="1">
      <alignment horizontal="center" vertical="center" wrapText="1"/>
    </xf>
    <xf numFmtId="0" fontId="11" fillId="0" borderId="29" xfId="0" quotePrefix="1" applyFont="1" applyFill="1" applyBorder="1" applyAlignment="1">
      <alignment horizontal="center" vertical="center" wrapText="1"/>
    </xf>
    <xf numFmtId="0" fontId="11" fillId="0" borderId="75" xfId="0" quotePrefix="1" applyFont="1" applyFill="1" applyBorder="1" applyAlignment="1">
      <alignment horizontal="center" vertical="center" wrapText="1"/>
    </xf>
    <xf numFmtId="0" fontId="11" fillId="0" borderId="24" xfId="49" quotePrefix="1" applyFont="1" applyFill="1" applyBorder="1" applyAlignment="1">
      <alignment horizontal="center"/>
    </xf>
    <xf numFmtId="0" fontId="11" fillId="0" borderId="25" xfId="49" quotePrefix="1" applyFont="1" applyFill="1" applyBorder="1" applyAlignment="1">
      <alignment horizontal="center"/>
    </xf>
    <xf numFmtId="0" fontId="47" fillId="0" borderId="13" xfId="48" applyFont="1" applyBorder="1" applyAlignment="1">
      <alignment horizontal="center"/>
    </xf>
    <xf numFmtId="0" fontId="49" fillId="0" borderId="17" xfId="48" applyFont="1" applyBorder="1" applyAlignment="1">
      <alignment horizontal="left" wrapText="1"/>
    </xf>
    <xf numFmtId="0" fontId="49" fillId="0" borderId="19" xfId="48" applyFont="1" applyBorder="1" applyAlignment="1">
      <alignment horizontal="left" wrapText="1"/>
    </xf>
    <xf numFmtId="0" fontId="46" fillId="0" borderId="0" xfId="48" applyFont="1" applyAlignment="1">
      <alignment horizontal="center"/>
    </xf>
  </cellXfs>
  <cellStyles count="42573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56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2"/>
    <cellStyle name="Normal 11 9" xfId="42557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3"/>
    <cellStyle name="Normal 12 9" xfId="42558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4"/>
    <cellStyle name="Normal 13 9" xfId="42559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5"/>
    <cellStyle name="Normal 14 7" xfId="4256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6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46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4"/>
    <cellStyle name="Normal 156" xfId="42555"/>
    <cellStyle name="Normal 157" xfId="42570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62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63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4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64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48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49"/>
    <cellStyle name="Normal 5 8" xfId="42565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50"/>
    <cellStyle name="Normal 6 11" xfId="42566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51"/>
    <cellStyle name="Normal 7 9" xfId="42567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52"/>
    <cellStyle name="Normal 8 8" xfId="42568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53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seatac temp" xfId="48"/>
    <cellStyle name="Normal_WeathAdjustmentSummary" xfId="49"/>
    <cellStyle name="Normal_Weather Normalization - Electric Daily - 09 GRC" xfId="42572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23" xfId="42571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CCFFCC"/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6.149E-3</v>
          </cell>
        </row>
        <row r="7">
          <cell r="B7">
            <v>2E-3</v>
          </cell>
        </row>
        <row r="8">
          <cell r="B8">
            <v>3.8496000000000002E-2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H15" sqref="H15"/>
    </sheetView>
  </sheetViews>
  <sheetFormatPr defaultColWidth="9.109375" defaultRowHeight="13.2"/>
  <cols>
    <col min="1" max="1" width="9.44140625" style="306" bestFit="1" customWidth="1"/>
    <col min="2" max="2" width="29.109375" style="308" customWidth="1"/>
    <col min="3" max="3" width="15.88671875" style="308" bestFit="1" customWidth="1"/>
    <col min="4" max="4" width="19.6640625" style="308" bestFit="1" customWidth="1"/>
    <col min="5" max="5" width="13.33203125" style="308" bestFit="1" customWidth="1"/>
    <col min="6" max="6" width="18.44140625" style="308" customWidth="1"/>
    <col min="7" max="7" width="12.88671875" style="308" bestFit="1" customWidth="1"/>
    <col min="8" max="8" width="9.5546875" style="308" customWidth="1"/>
    <col min="9" max="9" width="10.33203125" style="308" customWidth="1"/>
    <col min="10" max="10" width="22.109375" style="308" bestFit="1" customWidth="1"/>
    <col min="11" max="11" width="15.5546875" style="308" bestFit="1" customWidth="1"/>
    <col min="12" max="12" width="14" style="308" bestFit="1" customWidth="1"/>
    <col min="13" max="14" width="15.6640625" style="308" bestFit="1" customWidth="1"/>
    <col min="15" max="15" width="9.109375" style="308"/>
    <col min="16" max="16" width="1" style="308" customWidth="1"/>
    <col min="17" max="18" width="10.6640625" style="308" customWidth="1"/>
    <col min="19" max="19" width="9.109375" style="308"/>
    <col min="20" max="20" width="0.6640625" style="308" customWidth="1"/>
    <col min="21" max="22" width="10.6640625" style="308" customWidth="1"/>
    <col min="23" max="23" width="10.6640625" style="308" bestFit="1" customWidth="1"/>
    <col min="24" max="24" width="0.6640625" style="308" customWidth="1"/>
    <col min="25" max="26" width="10.6640625" style="308" customWidth="1"/>
    <col min="27" max="16384" width="9.109375" style="308"/>
  </cols>
  <sheetData>
    <row r="1" spans="1:27">
      <c r="B1" s="306"/>
      <c r="C1" s="306"/>
      <c r="D1" s="306"/>
      <c r="E1" s="306"/>
      <c r="F1" s="307"/>
    </row>
    <row r="2" spans="1:27">
      <c r="A2" s="309" t="s">
        <v>106</v>
      </c>
      <c r="B2" s="309"/>
      <c r="C2" s="309"/>
      <c r="D2" s="309"/>
      <c r="E2" s="309"/>
      <c r="F2" s="309"/>
    </row>
    <row r="3" spans="1:27">
      <c r="A3" s="309" t="s">
        <v>12</v>
      </c>
      <c r="B3" s="309"/>
      <c r="C3" s="309"/>
      <c r="D3" s="309"/>
      <c r="E3" s="309"/>
      <c r="F3" s="309"/>
    </row>
    <row r="4" spans="1:27">
      <c r="A4" s="310" t="s">
        <v>165</v>
      </c>
      <c r="B4" s="310"/>
      <c r="C4" s="310"/>
      <c r="D4" s="310"/>
      <c r="E4" s="310"/>
      <c r="F4" s="310"/>
    </row>
    <row r="5" spans="1:27" ht="15.75" customHeight="1">
      <c r="A5" s="309"/>
      <c r="B5" s="309"/>
      <c r="C5" s="309"/>
      <c r="D5" s="309"/>
      <c r="E5" s="309"/>
      <c r="F5" s="309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27" ht="15.6">
      <c r="A6" s="311"/>
      <c r="B6" s="306"/>
      <c r="C6" s="306"/>
      <c r="D6" s="306"/>
      <c r="E6" s="306"/>
      <c r="F6" s="306"/>
      <c r="I6" s="439"/>
      <c r="J6" s="439"/>
      <c r="K6" s="439"/>
      <c r="L6" s="439"/>
      <c r="M6" s="439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</row>
    <row r="7" spans="1:27" ht="15.6">
      <c r="A7" s="312" t="s">
        <v>13</v>
      </c>
      <c r="B7" s="313"/>
      <c r="C7" s="313"/>
      <c r="D7" s="313"/>
      <c r="E7" s="306"/>
      <c r="F7" s="306"/>
      <c r="G7" s="314"/>
      <c r="I7" s="439"/>
      <c r="J7" s="439"/>
      <c r="K7" s="439"/>
      <c r="L7" s="439"/>
      <c r="M7" s="439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</row>
    <row r="8" spans="1:27">
      <c r="A8" s="315" t="s">
        <v>14</v>
      </c>
      <c r="B8" s="316" t="s">
        <v>15</v>
      </c>
      <c r="C8" s="316"/>
      <c r="D8" s="316"/>
      <c r="E8" s="317"/>
      <c r="F8" s="317"/>
      <c r="G8" s="314"/>
      <c r="I8"/>
      <c r="J8"/>
      <c r="K8"/>
      <c r="L8"/>
      <c r="M8"/>
      <c r="N8"/>
      <c r="O8"/>
      <c r="P8"/>
      <c r="Q8"/>
      <c r="R8" s="319"/>
      <c r="S8" s="319"/>
      <c r="T8" s="320"/>
      <c r="U8" s="318"/>
      <c r="V8" s="319"/>
      <c r="W8" s="319"/>
      <c r="X8" s="320"/>
      <c r="Y8" s="318"/>
      <c r="Z8" s="319"/>
      <c r="AA8" s="319"/>
    </row>
    <row r="9" spans="1:27">
      <c r="A9" s="311"/>
      <c r="B9" s="321"/>
      <c r="C9" s="322"/>
      <c r="D9" s="323"/>
      <c r="E9" s="321"/>
      <c r="F9"/>
      <c r="G9" s="314"/>
      <c r="I9"/>
      <c r="J9"/>
      <c r="K9"/>
      <c r="L9"/>
      <c r="M9"/>
      <c r="N9"/>
      <c r="O9"/>
      <c r="P9"/>
      <c r="Q9"/>
      <c r="R9" s="319"/>
      <c r="S9" s="319"/>
      <c r="T9" s="320"/>
      <c r="U9" s="318"/>
      <c r="V9" s="319"/>
      <c r="W9" s="319"/>
      <c r="X9" s="320"/>
      <c r="Y9" s="318"/>
      <c r="Z9" s="319"/>
      <c r="AA9" s="319"/>
    </row>
    <row r="10" spans="1:27">
      <c r="A10" s="324">
        <v>1</v>
      </c>
      <c r="B10" s="325"/>
      <c r="C10" s="326" t="s">
        <v>16</v>
      </c>
      <c r="D10" s="327" t="s">
        <v>17</v>
      </c>
      <c r="E10" s="328" t="s">
        <v>107</v>
      </c>
      <c r="F10" s="67"/>
      <c r="G10" s="327"/>
      <c r="I10"/>
      <c r="J10"/>
      <c r="K10"/>
      <c r="L10"/>
      <c r="M10"/>
      <c r="N10"/>
      <c r="O10"/>
      <c r="P10"/>
      <c r="Q10"/>
      <c r="R10" s="329"/>
      <c r="S10" s="329"/>
      <c r="T10" s="330"/>
      <c r="U10" s="329"/>
      <c r="V10" s="329"/>
      <c r="W10" s="329"/>
      <c r="X10" s="330"/>
      <c r="Y10" s="329"/>
      <c r="Z10" s="329"/>
      <c r="AA10" s="329"/>
    </row>
    <row r="11" spans="1:27">
      <c r="A11" s="324">
        <f t="shared" ref="A11:A47" si="0">A10+1</f>
        <v>2</v>
      </c>
      <c r="B11" s="325"/>
      <c r="C11" s="331" t="s">
        <v>168</v>
      </c>
      <c r="D11" s="332" t="s">
        <v>168</v>
      </c>
      <c r="E11" s="333" t="s">
        <v>18</v>
      </c>
      <c r="F11" s="67"/>
      <c r="G11" s="334"/>
      <c r="H11" s="335"/>
      <c r="I11"/>
      <c r="J11"/>
      <c r="K11"/>
      <c r="L11"/>
      <c r="M11"/>
      <c r="N11"/>
      <c r="O11"/>
      <c r="P11"/>
      <c r="Q11"/>
      <c r="R11" s="336"/>
      <c r="S11" s="336"/>
      <c r="T11" s="336"/>
      <c r="U11" s="336"/>
      <c r="V11" s="336"/>
      <c r="W11" s="336"/>
      <c r="X11" s="336"/>
      <c r="Y11" s="336"/>
      <c r="Z11" s="336"/>
      <c r="AA11" s="336"/>
    </row>
    <row r="12" spans="1:27">
      <c r="A12" s="324">
        <f t="shared" si="0"/>
        <v>3</v>
      </c>
      <c r="B12" s="372">
        <v>44197</v>
      </c>
      <c r="C12" s="373">
        <f>Summary!C12</f>
        <v>1915563398.062</v>
      </c>
      <c r="D12" s="373">
        <f>Summary!D12</f>
        <v>1973231246.5583563</v>
      </c>
      <c r="E12" s="374">
        <f t="shared" ref="E12:E23" si="1">+D12-C12</f>
        <v>57667848.496356249</v>
      </c>
      <c r="F12" s="67"/>
      <c r="G12" s="314"/>
      <c r="H12" s="337"/>
      <c r="I12"/>
      <c r="J12"/>
      <c r="K12"/>
      <c r="L12"/>
      <c r="M12"/>
      <c r="N12"/>
      <c r="O12"/>
      <c r="P12"/>
      <c r="Q12"/>
      <c r="R12" s="336"/>
      <c r="S12" s="336"/>
      <c r="T12" s="336"/>
      <c r="U12" s="336"/>
      <c r="V12" s="336"/>
      <c r="W12" s="336"/>
      <c r="X12" s="336"/>
      <c r="Y12" s="336"/>
      <c r="Z12" s="336"/>
      <c r="AA12" s="336"/>
    </row>
    <row r="13" spans="1:27">
      <c r="A13" s="324">
        <f t="shared" si="0"/>
        <v>4</v>
      </c>
      <c r="B13" s="372">
        <v>44228</v>
      </c>
      <c r="C13" s="373">
        <f>Summary!C13</f>
        <v>1932924316.3439999</v>
      </c>
      <c r="D13" s="373">
        <f>Summary!D13</f>
        <v>1886985202.038095</v>
      </c>
      <c r="E13" s="374">
        <f t="shared" si="1"/>
        <v>-45939114.305904865</v>
      </c>
      <c r="F13" s="67"/>
      <c r="G13" s="314"/>
      <c r="H13" s="91"/>
      <c r="I13"/>
      <c r="J13"/>
      <c r="K13"/>
      <c r="L13"/>
      <c r="M13"/>
      <c r="N13"/>
      <c r="O13"/>
      <c r="P13"/>
      <c r="Q13"/>
      <c r="R13" s="336"/>
      <c r="S13" s="336"/>
      <c r="T13" s="336"/>
      <c r="U13" s="336"/>
      <c r="V13" s="336"/>
      <c r="W13" s="336"/>
      <c r="X13" s="336"/>
      <c r="Y13" s="336"/>
      <c r="Z13" s="336"/>
      <c r="AA13" s="336"/>
    </row>
    <row r="14" spans="1:27">
      <c r="A14" s="324">
        <f t="shared" si="0"/>
        <v>5</v>
      </c>
      <c r="B14" s="372">
        <v>44256</v>
      </c>
      <c r="C14" s="373">
        <f>Summary!C14</f>
        <v>1938339907.2279997</v>
      </c>
      <c r="D14" s="373">
        <f>Summary!D14</f>
        <v>1932225173.5531116</v>
      </c>
      <c r="E14" s="374">
        <f t="shared" si="1"/>
        <v>-6114733.674888134</v>
      </c>
      <c r="F14" s="67"/>
      <c r="H14" s="91"/>
      <c r="I14"/>
      <c r="J14"/>
      <c r="K14"/>
      <c r="L14"/>
      <c r="M14"/>
      <c r="N14"/>
      <c r="O14"/>
      <c r="P14"/>
      <c r="Q14"/>
      <c r="R14" s="336"/>
      <c r="S14" s="336"/>
      <c r="T14" s="336"/>
      <c r="U14" s="336"/>
      <c r="V14" s="336"/>
      <c r="W14" s="336"/>
      <c r="X14" s="336"/>
      <c r="Y14" s="336"/>
      <c r="Z14" s="336"/>
      <c r="AA14" s="336"/>
    </row>
    <row r="15" spans="1:27">
      <c r="A15" s="324">
        <f t="shared" si="0"/>
        <v>6</v>
      </c>
      <c r="B15" s="372">
        <v>44287</v>
      </c>
      <c r="C15" s="373">
        <f>Summary!C15</f>
        <v>1758891449.0170002</v>
      </c>
      <c r="D15" s="373">
        <f>Summary!D15</f>
        <v>1811292086.5656819</v>
      </c>
      <c r="E15" s="374">
        <f t="shared" si="1"/>
        <v>52400637.548681736</v>
      </c>
      <c r="F15" s="67"/>
      <c r="H15" s="91"/>
      <c r="I15"/>
      <c r="J15"/>
      <c r="K15"/>
      <c r="L15"/>
      <c r="M15"/>
      <c r="N15"/>
      <c r="O15"/>
      <c r="P15"/>
      <c r="Q15"/>
      <c r="R15" s="336"/>
      <c r="S15" s="336"/>
      <c r="T15" s="336"/>
      <c r="U15" s="336"/>
      <c r="V15" s="336"/>
      <c r="W15" s="336"/>
      <c r="X15" s="336"/>
      <c r="Y15" s="336"/>
      <c r="Z15" s="336"/>
      <c r="AA15" s="336"/>
    </row>
    <row r="16" spans="1:27">
      <c r="A16" s="324">
        <f t="shared" si="0"/>
        <v>7</v>
      </c>
      <c r="B16" s="372">
        <v>44317</v>
      </c>
      <c r="C16" s="373">
        <f>Summary!C16</f>
        <v>1441798683.5949998</v>
      </c>
      <c r="D16" s="373">
        <f>Summary!D16</f>
        <v>1449070802.9324839</v>
      </c>
      <c r="E16" s="374">
        <f t="shared" si="1"/>
        <v>7272119.3374841213</v>
      </c>
      <c r="F16" s="67"/>
      <c r="H16" s="91"/>
      <c r="I16"/>
      <c r="J16"/>
      <c r="K16"/>
      <c r="L16"/>
      <c r="M16"/>
      <c r="N16"/>
      <c r="O16"/>
      <c r="P16"/>
      <c r="Q1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</row>
    <row r="17" spans="1:27">
      <c r="A17" s="324">
        <f t="shared" si="0"/>
        <v>8</v>
      </c>
      <c r="B17" s="372">
        <v>44348</v>
      </c>
      <c r="C17" s="373">
        <f>Summary!C17</f>
        <v>1487830299.1550002</v>
      </c>
      <c r="D17" s="373">
        <f>Summary!D17</f>
        <v>1400573832.6849489</v>
      </c>
      <c r="E17" s="374">
        <f t="shared" si="1"/>
        <v>-87256466.470051289</v>
      </c>
      <c r="F17" s="67"/>
      <c r="H17" s="91"/>
      <c r="I17"/>
      <c r="J17"/>
      <c r="K17"/>
      <c r="L17"/>
      <c r="M17"/>
      <c r="N17"/>
      <c r="O17"/>
      <c r="P17"/>
      <c r="Q17"/>
      <c r="R17" s="336"/>
      <c r="S17" s="336"/>
      <c r="T17" s="336"/>
      <c r="U17" s="336"/>
      <c r="V17" s="336"/>
      <c r="W17" s="336"/>
      <c r="X17" s="336"/>
      <c r="Y17" s="336"/>
      <c r="Z17" s="336"/>
      <c r="AA17" s="336"/>
    </row>
    <row r="18" spans="1:27">
      <c r="A18" s="324">
        <f t="shared" si="0"/>
        <v>9</v>
      </c>
      <c r="B18" s="372">
        <v>44378</v>
      </c>
      <c r="C18" s="373">
        <f>Summary!C18</f>
        <v>1584657075.016</v>
      </c>
      <c r="D18" s="373">
        <f>Summary!D18</f>
        <v>1564366830.7301683</v>
      </c>
      <c r="E18" s="374">
        <f t="shared" si="1"/>
        <v>-20290244.28583169</v>
      </c>
      <c r="F18" s="67"/>
      <c r="H18" s="91"/>
      <c r="I18"/>
      <c r="J18"/>
      <c r="K18"/>
      <c r="L18"/>
      <c r="M18"/>
      <c r="N18"/>
      <c r="O18"/>
      <c r="P18"/>
      <c r="Q18"/>
      <c r="R18" s="336"/>
      <c r="S18" s="336"/>
      <c r="T18" s="336"/>
      <c r="U18" s="336"/>
      <c r="V18" s="336"/>
      <c r="W18" s="336"/>
      <c r="X18" s="336"/>
      <c r="Y18" s="336"/>
      <c r="Z18" s="336"/>
      <c r="AA18" s="336"/>
    </row>
    <row r="19" spans="1:27">
      <c r="A19" s="324">
        <f t="shared" si="0"/>
        <v>10</v>
      </c>
      <c r="B19" s="372">
        <v>44409</v>
      </c>
      <c r="C19" s="373">
        <f>Summary!C19</f>
        <v>1502116424.6949999</v>
      </c>
      <c r="D19" s="373">
        <f>Summary!D19</f>
        <v>1489304601.4225841</v>
      </c>
      <c r="E19" s="374">
        <f t="shared" si="1"/>
        <v>-12811823.272415876</v>
      </c>
      <c r="F19" s="67"/>
      <c r="H19" s="91"/>
      <c r="I19"/>
      <c r="J19"/>
      <c r="K19"/>
      <c r="L19"/>
      <c r="M19"/>
      <c r="N19"/>
      <c r="O19"/>
      <c r="P19"/>
      <c r="Q19"/>
      <c r="R19" s="336"/>
      <c r="S19" s="336"/>
      <c r="T19" s="336"/>
      <c r="U19" s="336"/>
      <c r="V19" s="336"/>
      <c r="W19" s="336"/>
      <c r="X19" s="336"/>
      <c r="Y19" s="336"/>
      <c r="Z19" s="336"/>
      <c r="AA19" s="336"/>
    </row>
    <row r="20" spans="1:27">
      <c r="A20" s="324">
        <f t="shared" si="0"/>
        <v>11</v>
      </c>
      <c r="B20" s="372">
        <v>44440</v>
      </c>
      <c r="C20" s="373">
        <f>Summary!C20</f>
        <v>1469753684.4739997</v>
      </c>
      <c r="D20" s="373">
        <f>Summary!D20</f>
        <v>1472695160.094619</v>
      </c>
      <c r="E20" s="374">
        <f t="shared" si="1"/>
        <v>2941475.620619297</v>
      </c>
      <c r="F20" s="67"/>
      <c r="G20" s="338"/>
      <c r="H20" s="91"/>
      <c r="I20"/>
      <c r="J20"/>
      <c r="K20"/>
      <c r="L20"/>
      <c r="M20"/>
      <c r="N20"/>
      <c r="O20"/>
      <c r="P20"/>
      <c r="Q20"/>
      <c r="R20" s="336"/>
      <c r="S20" s="336"/>
      <c r="T20" s="336"/>
      <c r="U20" s="336"/>
      <c r="V20" s="336"/>
      <c r="W20" s="336"/>
      <c r="X20" s="336"/>
      <c r="Y20" s="336"/>
      <c r="Z20" s="336"/>
      <c r="AA20" s="336"/>
    </row>
    <row r="21" spans="1:27">
      <c r="A21" s="324">
        <f t="shared" si="0"/>
        <v>12</v>
      </c>
      <c r="B21" s="372">
        <v>44470</v>
      </c>
      <c r="C21" s="373">
        <f>Summary!C21</f>
        <v>1459382917.4679999</v>
      </c>
      <c r="D21" s="373">
        <f>Summary!D21</f>
        <v>1444543693.3216822</v>
      </c>
      <c r="E21" s="374">
        <f t="shared" si="1"/>
        <v>-14839224.14631772</v>
      </c>
      <c r="F21" s="67"/>
      <c r="H21" s="91"/>
      <c r="I21"/>
      <c r="J21"/>
      <c r="K21"/>
      <c r="L21"/>
      <c r="M21"/>
      <c r="N21"/>
      <c r="O21"/>
      <c r="P21"/>
      <c r="Q21"/>
      <c r="R21" s="336"/>
      <c r="S21" s="336"/>
      <c r="T21" s="336"/>
      <c r="U21" s="336"/>
      <c r="V21" s="336"/>
      <c r="W21" s="336"/>
      <c r="X21" s="336"/>
      <c r="Y21" s="336"/>
      <c r="Z21" s="336"/>
      <c r="AA21" s="336"/>
    </row>
    <row r="22" spans="1:27">
      <c r="A22" s="324">
        <f t="shared" si="0"/>
        <v>13</v>
      </c>
      <c r="B22" s="372">
        <v>44501</v>
      </c>
      <c r="C22" s="373">
        <f>Summary!C22</f>
        <v>1678621923.5929999</v>
      </c>
      <c r="D22" s="373">
        <f>Summary!D22</f>
        <v>1725439436.0736265</v>
      </c>
      <c r="E22" s="374">
        <f t="shared" si="1"/>
        <v>46817512.480626583</v>
      </c>
      <c r="F22" s="67"/>
      <c r="H22" s="91"/>
      <c r="I22"/>
      <c r="J22"/>
      <c r="K22"/>
      <c r="L22"/>
      <c r="M22"/>
      <c r="N22"/>
      <c r="O22"/>
      <c r="P22"/>
      <c r="Q22"/>
      <c r="R22" s="336"/>
      <c r="S22" s="336"/>
      <c r="T22" s="336"/>
      <c r="U22" s="336"/>
      <c r="V22" s="336"/>
      <c r="W22" s="336"/>
      <c r="X22" s="336"/>
      <c r="Y22" s="336"/>
      <c r="Z22" s="336"/>
      <c r="AA22" s="336"/>
    </row>
    <row r="23" spans="1:27">
      <c r="A23" s="324">
        <f t="shared" si="0"/>
        <v>14</v>
      </c>
      <c r="B23" s="372">
        <v>44531</v>
      </c>
      <c r="C23" s="373">
        <f>Summary!C23</f>
        <v>1951507928.1319997</v>
      </c>
      <c r="D23" s="373">
        <f>Summary!D23</f>
        <v>1847523867.6109414</v>
      </c>
      <c r="E23" s="374">
        <f t="shared" si="1"/>
        <v>-103984060.52105832</v>
      </c>
      <c r="F23" s="67"/>
      <c r="H23" s="91"/>
      <c r="I23"/>
      <c r="J23"/>
      <c r="K23"/>
      <c r="L23"/>
      <c r="M23"/>
      <c r="N23"/>
      <c r="O23"/>
      <c r="P23"/>
      <c r="Q23"/>
      <c r="R23" s="336"/>
      <c r="S23" s="336"/>
      <c r="T23" s="336"/>
      <c r="U23" s="336"/>
      <c r="V23" s="336"/>
      <c r="W23" s="336"/>
      <c r="X23" s="336"/>
      <c r="Y23" s="336"/>
      <c r="Z23" s="336"/>
      <c r="AA23" s="336"/>
    </row>
    <row r="24" spans="1:27">
      <c r="A24" s="324">
        <f t="shared" si="0"/>
        <v>15</v>
      </c>
      <c r="B24" s="306"/>
      <c r="C24" s="375">
        <f>SUM(C12:C23)</f>
        <v>20121388006.778999</v>
      </c>
      <c r="D24" s="375">
        <f>SUM(D12:D23)</f>
        <v>19997251933.5863</v>
      </c>
      <c r="E24" s="376">
        <f>SUM(E12:E23)</f>
        <v>-124136073.19269991</v>
      </c>
      <c r="F24" s="67"/>
      <c r="I24"/>
      <c r="J24"/>
      <c r="K24"/>
      <c r="L24"/>
      <c r="M24"/>
      <c r="N24"/>
      <c r="O24"/>
      <c r="P24"/>
      <c r="Q2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</row>
    <row r="25" spans="1:27">
      <c r="A25" s="324">
        <f t="shared" si="0"/>
        <v>16</v>
      </c>
      <c r="B25" s="321"/>
      <c r="C25" s="30"/>
      <c r="D25" s="30"/>
      <c r="E25" s="321"/>
      <c r="F25" s="321"/>
      <c r="I25"/>
      <c r="J25"/>
      <c r="K25"/>
      <c r="L25"/>
      <c r="M25"/>
      <c r="N25"/>
      <c r="O25"/>
      <c r="P25"/>
      <c r="Q25"/>
      <c r="R25" s="319"/>
      <c r="S25" s="319"/>
      <c r="T25" s="314"/>
      <c r="U25" s="318"/>
      <c r="V25" s="319"/>
      <c r="W25" s="319"/>
      <c r="X25" s="320"/>
      <c r="Y25" s="318"/>
      <c r="Z25" s="319"/>
      <c r="AA25" s="319"/>
    </row>
    <row r="26" spans="1:27">
      <c r="A26" s="324">
        <f t="shared" si="0"/>
        <v>17</v>
      </c>
      <c r="B26" s="306" t="s">
        <v>169</v>
      </c>
      <c r="C26" s="306" t="s">
        <v>1</v>
      </c>
      <c r="D26" s="339"/>
      <c r="E26" s="339">
        <f>'Sales &amp; Revenue Adj.'!B21</f>
        <v>-86247053.781314552</v>
      </c>
      <c r="F26" s="377">
        <f>'Sales &amp; Revenue Adj.'!B8</f>
        <v>-3755022</v>
      </c>
      <c r="G26" s="340"/>
      <c r="H26" s="341"/>
      <c r="I26"/>
      <c r="J26"/>
      <c r="K26"/>
      <c r="L26"/>
      <c r="M26"/>
      <c r="N26"/>
      <c r="O26"/>
      <c r="P26"/>
      <c r="Q26"/>
      <c r="R26" s="319"/>
      <c r="S26" s="319"/>
      <c r="T26" s="314"/>
      <c r="U26" s="318"/>
      <c r="V26" s="319"/>
      <c r="W26" s="319"/>
      <c r="X26" s="320"/>
      <c r="Y26" s="318"/>
      <c r="Z26" s="319"/>
      <c r="AA26" s="319"/>
    </row>
    <row r="27" spans="1:27">
      <c r="A27" s="324">
        <f t="shared" si="0"/>
        <v>18</v>
      </c>
      <c r="B27" s="311"/>
      <c r="C27" s="178" t="s">
        <v>178</v>
      </c>
      <c r="D27" s="306"/>
      <c r="E27" s="339">
        <f>'Sales &amp; Revenue Adj.'!B22</f>
        <v>-15393233.960725293</v>
      </c>
      <c r="F27" s="378">
        <f>'Sales &amp; Revenue Adj.'!B9</f>
        <v>-673195</v>
      </c>
      <c r="G27" s="340"/>
      <c r="H27" s="341"/>
      <c r="I27"/>
      <c r="J27"/>
      <c r="K27"/>
      <c r="L27"/>
      <c r="M27"/>
      <c r="N27"/>
      <c r="O27"/>
      <c r="P27"/>
      <c r="Q27"/>
      <c r="R27" s="329"/>
      <c r="S27" s="329"/>
      <c r="T27" s="314"/>
      <c r="U27" s="329"/>
      <c r="V27" s="329"/>
      <c r="W27" s="329"/>
      <c r="X27" s="330"/>
      <c r="Y27" s="329"/>
      <c r="Z27" s="329"/>
      <c r="AA27" s="329"/>
    </row>
    <row r="28" spans="1:27">
      <c r="A28" s="324">
        <f t="shared" si="0"/>
        <v>19</v>
      </c>
      <c r="B28" s="306"/>
      <c r="C28" s="342" t="s">
        <v>179</v>
      </c>
      <c r="D28" s="343"/>
      <c r="E28" s="339">
        <f>'Sales &amp; Revenue Adj.'!B23</f>
        <v>-13095153.261083592</v>
      </c>
      <c r="F28" s="378">
        <f>'Sales &amp; Revenue Adj.'!B10</f>
        <v>-555857</v>
      </c>
      <c r="G28" s="340"/>
      <c r="H28" s="341"/>
      <c r="I28"/>
      <c r="J28"/>
      <c r="K28"/>
      <c r="L28"/>
      <c r="M28"/>
      <c r="N28"/>
      <c r="O28"/>
      <c r="P28"/>
      <c r="Q28"/>
      <c r="R28" s="336"/>
      <c r="S28" s="336"/>
      <c r="T28" s="314"/>
      <c r="U28" s="336"/>
      <c r="V28" s="336"/>
      <c r="W28" s="336"/>
      <c r="X28" s="336"/>
      <c r="Y28" s="336"/>
      <c r="Z28" s="336"/>
      <c r="AA28" s="336"/>
    </row>
    <row r="29" spans="1:27">
      <c r="A29" s="324">
        <f t="shared" si="0"/>
        <v>20</v>
      </c>
      <c r="B29" s="344"/>
      <c r="C29" s="178" t="s">
        <v>180</v>
      </c>
      <c r="D29" s="345"/>
      <c r="E29" s="339">
        <f>'Sales &amp; Revenue Adj.'!B24</f>
        <v>-6325356.6896139039</v>
      </c>
      <c r="F29" s="378">
        <f>'Sales &amp; Revenue Adj.'!B11</f>
        <v>-247241</v>
      </c>
      <c r="G29" s="340"/>
      <c r="H29" s="341"/>
      <c r="I29"/>
      <c r="J29"/>
      <c r="K29"/>
      <c r="L29"/>
      <c r="M29"/>
      <c r="N29"/>
      <c r="O29"/>
      <c r="P29"/>
      <c r="Q29"/>
      <c r="R29" s="336"/>
      <c r="S29" s="336"/>
      <c r="T29" s="314"/>
      <c r="U29" s="336"/>
      <c r="V29" s="336"/>
      <c r="W29" s="336"/>
      <c r="X29" s="336"/>
      <c r="Y29" s="336"/>
      <c r="Z29" s="336"/>
      <c r="AA29" s="336"/>
    </row>
    <row r="30" spans="1:27">
      <c r="A30" s="324">
        <f t="shared" si="0"/>
        <v>21</v>
      </c>
      <c r="B30" s="306"/>
      <c r="C30" s="342" t="s">
        <v>5</v>
      </c>
      <c r="D30" s="306"/>
      <c r="E30" s="339">
        <f>'Sales &amp; Revenue Adj.'!B25</f>
        <v>0</v>
      </c>
      <c r="F30" s="378">
        <f>'Sales &amp; Revenue Adj.'!B12</f>
        <v>0</v>
      </c>
      <c r="G30" s="340"/>
      <c r="H30" s="341"/>
      <c r="I30"/>
      <c r="J30"/>
      <c r="K30"/>
      <c r="L30"/>
      <c r="M30"/>
      <c r="N30"/>
      <c r="O30"/>
      <c r="P30"/>
      <c r="Q30"/>
      <c r="R30" s="336"/>
      <c r="S30" s="336"/>
      <c r="T30" s="314"/>
      <c r="U30" s="336"/>
      <c r="V30" s="336"/>
      <c r="W30" s="336"/>
      <c r="X30" s="336"/>
      <c r="Y30" s="336"/>
      <c r="Z30" s="336"/>
      <c r="AA30" s="336"/>
    </row>
    <row r="31" spans="1:27">
      <c r="A31" s="324">
        <f t="shared" si="0"/>
        <v>22</v>
      </c>
      <c r="B31" s="306"/>
      <c r="C31" s="342" t="s">
        <v>181</v>
      </c>
      <c r="D31" s="306"/>
      <c r="E31" s="339">
        <f>'Sales &amp; Revenue Adj.'!B26</f>
        <v>-2447933.5613421709</v>
      </c>
      <c r="F31" s="378">
        <f>'Sales &amp; Revenue Adj.'!B13</f>
        <v>-93793</v>
      </c>
      <c r="G31" s="340"/>
      <c r="H31" s="341"/>
      <c r="I31"/>
      <c r="J31"/>
      <c r="K31"/>
      <c r="L31"/>
      <c r="M31"/>
      <c r="N31"/>
      <c r="O31"/>
      <c r="P31"/>
      <c r="Q31"/>
      <c r="R31" s="336"/>
      <c r="S31" s="336"/>
      <c r="T31" s="314"/>
      <c r="U31" s="336"/>
      <c r="V31" s="336"/>
      <c r="W31" s="336"/>
      <c r="X31" s="336"/>
      <c r="Y31" s="336"/>
      <c r="Z31" s="336"/>
      <c r="AA31" s="336"/>
    </row>
    <row r="32" spans="1:27">
      <c r="A32" s="324">
        <f t="shared" si="0"/>
        <v>23</v>
      </c>
      <c r="B32" s="306"/>
      <c r="C32" s="178" t="s">
        <v>23</v>
      </c>
      <c r="D32" s="306"/>
      <c r="E32" s="339">
        <v>0</v>
      </c>
      <c r="F32" s="378">
        <v>0</v>
      </c>
      <c r="G32" s="340"/>
      <c r="H32" s="341"/>
      <c r="I32"/>
      <c r="J32"/>
      <c r="K32"/>
      <c r="L32"/>
      <c r="M32"/>
      <c r="N32"/>
      <c r="O32"/>
      <c r="P32"/>
      <c r="Q32"/>
      <c r="R32" s="336"/>
      <c r="S32" s="336"/>
      <c r="T32" s="314"/>
      <c r="U32" s="336"/>
      <c r="V32" s="336"/>
      <c r="W32" s="336"/>
      <c r="X32" s="336"/>
      <c r="Y32" s="336"/>
      <c r="Z32" s="336"/>
      <c r="AA32" s="336"/>
    </row>
    <row r="33" spans="1:28">
      <c r="A33" s="324">
        <f t="shared" si="0"/>
        <v>24</v>
      </c>
      <c r="B33" s="306"/>
      <c r="C33" s="346" t="s">
        <v>8</v>
      </c>
      <c r="D33" s="306"/>
      <c r="E33" s="339">
        <f>'Sales &amp; Revenue Adj.'!B27</f>
        <v>-622835.0512850089</v>
      </c>
      <c r="F33" s="378">
        <f>'Sales &amp; Revenue Adj.'!B14</f>
        <v>-23739</v>
      </c>
      <c r="G33" s="340"/>
      <c r="H33" s="341"/>
      <c r="I33"/>
      <c r="J33"/>
      <c r="K33"/>
      <c r="L33"/>
      <c r="M33"/>
      <c r="N33"/>
      <c r="O33"/>
      <c r="P33"/>
      <c r="Q33"/>
      <c r="R33" s="336"/>
      <c r="S33" s="336"/>
      <c r="T33" s="314"/>
      <c r="U33" s="336"/>
      <c r="V33" s="336"/>
      <c r="W33" s="336"/>
      <c r="X33" s="336"/>
      <c r="Y33" s="336"/>
      <c r="Z33" s="336"/>
      <c r="AA33" s="336"/>
    </row>
    <row r="34" spans="1:28">
      <c r="A34" s="324">
        <f t="shared" si="0"/>
        <v>25</v>
      </c>
      <c r="B34" s="306"/>
      <c r="C34" s="347" t="s">
        <v>9</v>
      </c>
      <c r="D34" s="306"/>
      <c r="E34" s="339">
        <f>'Sales &amp; Revenue Adj.'!B28</f>
        <v>-4506.8873355445867</v>
      </c>
      <c r="F34" s="378">
        <f>'Sales &amp; Revenue Adj.'!B15</f>
        <v>-272</v>
      </c>
      <c r="G34" s="340"/>
      <c r="H34" s="341"/>
      <c r="I34"/>
      <c r="J34"/>
      <c r="K34"/>
      <c r="L34"/>
      <c r="M34"/>
      <c r="N34"/>
      <c r="O34"/>
      <c r="P34"/>
      <c r="Q34"/>
      <c r="R34" s="336"/>
      <c r="S34" s="336"/>
      <c r="T34" s="314"/>
      <c r="U34" s="336"/>
      <c r="V34" s="336"/>
      <c r="W34" s="336"/>
      <c r="X34" s="336"/>
      <c r="Y34" s="336"/>
      <c r="Z34" s="336"/>
      <c r="AA34" s="336"/>
    </row>
    <row r="35" spans="1:28">
      <c r="A35" s="324">
        <f t="shared" si="0"/>
        <v>26</v>
      </c>
      <c r="B35" s="306" t="s">
        <v>170</v>
      </c>
      <c r="C35" s="306"/>
      <c r="D35" s="306"/>
      <c r="E35" s="376">
        <f>SUM(E26:E34)</f>
        <v>-124136073.19270006</v>
      </c>
      <c r="F35" s="379">
        <f>SUM(F26:F34)</f>
        <v>-5349119</v>
      </c>
      <c r="G35" s="348">
        <f>F35</f>
        <v>-5349119</v>
      </c>
      <c r="H35" s="349"/>
      <c r="I35"/>
      <c r="J35"/>
      <c r="K35"/>
      <c r="L35"/>
      <c r="M35"/>
      <c r="N35"/>
      <c r="O35"/>
      <c r="P35"/>
      <c r="Q35"/>
      <c r="R35" s="336"/>
      <c r="S35" s="336"/>
      <c r="T35" s="314"/>
      <c r="U35" s="336"/>
      <c r="V35" s="336"/>
      <c r="W35" s="336"/>
      <c r="X35" s="336"/>
      <c r="Y35" s="336"/>
      <c r="Z35" s="336"/>
      <c r="AA35" s="336"/>
    </row>
    <row r="36" spans="1:28">
      <c r="A36" s="324">
        <f t="shared" si="0"/>
        <v>27</v>
      </c>
      <c r="B36" s="306"/>
      <c r="C36" s="306"/>
      <c r="D36" s="350"/>
      <c r="E36" s="351"/>
      <c r="F36" s="352"/>
      <c r="I36"/>
      <c r="J36"/>
      <c r="K36"/>
      <c r="L36"/>
      <c r="M36"/>
      <c r="N36"/>
      <c r="O36"/>
      <c r="P36"/>
      <c r="Q36"/>
      <c r="R36" s="336"/>
      <c r="S36" s="336"/>
      <c r="T36" s="314"/>
      <c r="U36" s="336"/>
      <c r="V36" s="336"/>
      <c r="W36" s="336"/>
      <c r="X36" s="336"/>
      <c r="Y36" s="336"/>
      <c r="Z36" s="336"/>
      <c r="AA36" s="336"/>
    </row>
    <row r="37" spans="1:28">
      <c r="A37" s="324">
        <f t="shared" si="0"/>
        <v>28</v>
      </c>
      <c r="B37" s="353" t="s">
        <v>171</v>
      </c>
      <c r="C37" s="353"/>
      <c r="D37" s="353"/>
      <c r="E37" s="354">
        <f>[2]Inputs!$B$6</f>
        <v>6.149E-3</v>
      </c>
      <c r="F37" s="355">
        <f>F35*E37</f>
        <v>-32891.732730999996</v>
      </c>
      <c r="I37"/>
      <c r="J37"/>
      <c r="K37"/>
      <c r="L37"/>
      <c r="M37"/>
      <c r="N37"/>
      <c r="O37"/>
      <c r="P37"/>
      <c r="Q37"/>
      <c r="R37" s="336"/>
      <c r="S37" s="336"/>
      <c r="T37" s="314"/>
      <c r="U37" s="336"/>
      <c r="V37" s="336"/>
      <c r="W37" s="336"/>
      <c r="X37" s="336"/>
      <c r="Y37" s="336"/>
      <c r="Z37" s="336"/>
      <c r="AA37" s="336"/>
    </row>
    <row r="38" spans="1:28">
      <c r="A38" s="324">
        <f t="shared" si="0"/>
        <v>29</v>
      </c>
      <c r="B38" s="353" t="s">
        <v>172</v>
      </c>
      <c r="C38" s="353"/>
      <c r="D38" s="353"/>
      <c r="E38" s="354">
        <f>[2]Inputs!$B$7</f>
        <v>2E-3</v>
      </c>
      <c r="F38" s="356">
        <f>F35*E38</f>
        <v>-10698.237999999999</v>
      </c>
      <c r="I38"/>
      <c r="J38"/>
      <c r="K38"/>
      <c r="L38"/>
      <c r="M38"/>
      <c r="N38"/>
      <c r="O38"/>
      <c r="P38"/>
      <c r="Q38"/>
      <c r="R38" s="336"/>
      <c r="S38" s="336"/>
      <c r="T38" s="314"/>
      <c r="U38" s="336"/>
      <c r="V38" s="336"/>
      <c r="W38" s="336"/>
      <c r="X38" s="336"/>
      <c r="Y38" s="336"/>
      <c r="Z38" s="336"/>
      <c r="AA38" s="336"/>
    </row>
    <row r="39" spans="1:28">
      <c r="A39" s="324">
        <f t="shared" si="0"/>
        <v>30</v>
      </c>
      <c r="B39" s="353" t="s">
        <v>173</v>
      </c>
      <c r="C39" s="353"/>
      <c r="D39" s="353"/>
      <c r="E39" s="357"/>
      <c r="F39" s="358"/>
      <c r="G39" s="359">
        <f>SUM(F37:F38)</f>
        <v>-43589.970730999994</v>
      </c>
      <c r="I39"/>
      <c r="J39"/>
      <c r="K39"/>
      <c r="L39"/>
      <c r="M39"/>
      <c r="N39"/>
      <c r="O39"/>
      <c r="P39"/>
      <c r="Q39"/>
      <c r="R39" s="336"/>
      <c r="S39" s="336"/>
      <c r="T39" s="314"/>
      <c r="U39" s="336"/>
      <c r="V39" s="336"/>
      <c r="W39" s="336"/>
      <c r="X39" s="336"/>
      <c r="Y39" s="336"/>
      <c r="Z39" s="336"/>
      <c r="AA39" s="336"/>
    </row>
    <row r="40" spans="1:28">
      <c r="A40" s="324">
        <f t="shared" si="0"/>
        <v>31</v>
      </c>
      <c r="B40" s="353"/>
      <c r="C40" s="353"/>
      <c r="D40" s="353"/>
      <c r="E40" s="357"/>
      <c r="F40" s="360"/>
      <c r="I40"/>
      <c r="J40"/>
      <c r="K40"/>
      <c r="L40"/>
      <c r="M40"/>
      <c r="N40"/>
      <c r="O40"/>
      <c r="P40"/>
      <c r="Q40"/>
      <c r="R40" s="336"/>
      <c r="S40" s="336"/>
      <c r="T40" s="314"/>
      <c r="U40" s="336"/>
      <c r="V40" s="336"/>
      <c r="W40" s="336"/>
      <c r="X40" s="336"/>
      <c r="Y40" s="336"/>
      <c r="Z40" s="336"/>
      <c r="AA40" s="336"/>
    </row>
    <row r="41" spans="1:28">
      <c r="A41" s="324">
        <f t="shared" si="0"/>
        <v>32</v>
      </c>
      <c r="B41" s="353" t="s">
        <v>174</v>
      </c>
      <c r="C41" s="353"/>
      <c r="D41" s="353"/>
      <c r="E41" s="361">
        <f>[2]Inputs!$B$8</f>
        <v>3.8496000000000002E-2</v>
      </c>
      <c r="F41" s="362">
        <f>F35*E41</f>
        <v>-205919.68502400001</v>
      </c>
      <c r="I41"/>
      <c r="J41"/>
      <c r="K41"/>
      <c r="L41"/>
      <c r="M41"/>
      <c r="N41"/>
      <c r="O41"/>
      <c r="P41"/>
      <c r="Q41"/>
      <c r="R41" s="314"/>
      <c r="S41" s="314"/>
      <c r="T41" s="314"/>
      <c r="U41" s="314"/>
      <c r="V41" s="314"/>
      <c r="W41" s="314"/>
      <c r="X41" s="314"/>
      <c r="Y41" s="314"/>
      <c r="Z41" s="314"/>
      <c r="AA41" s="314"/>
    </row>
    <row r="42" spans="1:28">
      <c r="A42" s="324">
        <f t="shared" si="0"/>
        <v>33</v>
      </c>
      <c r="B42" s="353" t="s">
        <v>175</v>
      </c>
      <c r="C42" s="353"/>
      <c r="D42" s="353"/>
      <c r="E42" s="330"/>
      <c r="F42" s="358"/>
      <c r="G42" s="359">
        <f>SUM(F41)</f>
        <v>-205919.68502400001</v>
      </c>
      <c r="I42"/>
      <c r="J42"/>
      <c r="K42"/>
      <c r="L42"/>
      <c r="M42"/>
      <c r="N42"/>
      <c r="O42"/>
      <c r="P42" s="320"/>
      <c r="Q42" s="318"/>
      <c r="R42" s="319"/>
      <c r="S42" s="319"/>
      <c r="T42" s="314"/>
      <c r="U42" s="318"/>
      <c r="V42" s="319"/>
      <c r="W42" s="319"/>
      <c r="X42" s="320"/>
      <c r="Y42" s="318"/>
      <c r="Z42" s="319"/>
      <c r="AA42" s="319"/>
      <c r="AB42" s="363"/>
    </row>
    <row r="43" spans="1:28">
      <c r="A43" s="324">
        <f t="shared" si="0"/>
        <v>34</v>
      </c>
      <c r="B43" s="353"/>
      <c r="C43" s="353"/>
      <c r="D43" s="353"/>
      <c r="E43" s="330"/>
      <c r="F43" s="364"/>
      <c r="G43" s="365"/>
      <c r="H43" s="348"/>
      <c r="I43"/>
      <c r="J43"/>
      <c r="K43"/>
      <c r="L43"/>
      <c r="M43"/>
      <c r="N43"/>
      <c r="O43"/>
      <c r="P43" s="320"/>
      <c r="Q43" s="318"/>
      <c r="R43" s="319"/>
      <c r="S43" s="319"/>
      <c r="T43" s="314"/>
      <c r="U43" s="318"/>
      <c r="V43" s="319"/>
      <c r="W43" s="319"/>
      <c r="X43" s="320"/>
      <c r="Y43" s="318"/>
      <c r="Z43" s="319"/>
      <c r="AA43" s="319"/>
      <c r="AB43" s="349"/>
    </row>
    <row r="44" spans="1:28">
      <c r="A44" s="324">
        <f t="shared" si="0"/>
        <v>35</v>
      </c>
      <c r="B44" s="353" t="s">
        <v>176</v>
      </c>
      <c r="C44" s="353"/>
      <c r="D44" s="353"/>
      <c r="E44" s="330"/>
      <c r="F44" s="358"/>
      <c r="G44" s="359">
        <f>G35-G39-G42</f>
        <v>-5099609.3442449998</v>
      </c>
      <c r="H44" s="348"/>
      <c r="I44"/>
      <c r="J44"/>
      <c r="K44"/>
      <c r="L44"/>
      <c r="M44"/>
      <c r="N44"/>
      <c r="O44"/>
      <c r="P44" s="330"/>
      <c r="Q44" s="329"/>
      <c r="R44" s="329"/>
      <c r="S44" s="329"/>
      <c r="T44" s="314"/>
      <c r="U44" s="329"/>
      <c r="V44" s="329"/>
      <c r="W44" s="329"/>
      <c r="X44" s="330"/>
      <c r="Y44" s="329"/>
      <c r="Z44" s="329"/>
      <c r="AA44" s="329"/>
      <c r="AB44" s="306"/>
    </row>
    <row r="45" spans="1:28">
      <c r="A45" s="324">
        <f t="shared" si="0"/>
        <v>36</v>
      </c>
      <c r="B45" s="353"/>
      <c r="C45" s="353"/>
      <c r="D45" s="353"/>
      <c r="E45" s="330"/>
      <c r="F45" s="360"/>
      <c r="I45"/>
      <c r="J45"/>
      <c r="K45"/>
      <c r="L45"/>
      <c r="M45"/>
      <c r="N45"/>
      <c r="O45"/>
      <c r="P45" s="336"/>
      <c r="Q45" s="336"/>
      <c r="R45" s="336"/>
      <c r="S45" s="336"/>
      <c r="T45" s="314"/>
      <c r="U45" s="336"/>
      <c r="V45" s="336"/>
      <c r="W45" s="336"/>
      <c r="X45" s="336"/>
      <c r="Y45" s="336"/>
      <c r="Z45" s="336"/>
      <c r="AA45" s="336"/>
      <c r="AB45" s="349"/>
    </row>
    <row r="46" spans="1:28">
      <c r="A46" s="324">
        <f t="shared" si="0"/>
        <v>37</v>
      </c>
      <c r="B46" s="353" t="s">
        <v>177</v>
      </c>
      <c r="C46" s="353"/>
      <c r="D46" s="353"/>
      <c r="E46" s="366">
        <v>0.21</v>
      </c>
      <c r="F46" s="358"/>
      <c r="G46" s="367">
        <f>G44*E46</f>
        <v>-1070917.96229145</v>
      </c>
      <c r="I46"/>
      <c r="J46"/>
      <c r="K46"/>
      <c r="L46"/>
      <c r="M46"/>
      <c r="N46"/>
      <c r="O46"/>
      <c r="P46" s="336"/>
      <c r="Q46" s="336"/>
      <c r="R46" s="336"/>
      <c r="S46" s="336"/>
      <c r="T46" s="314"/>
      <c r="U46" s="336"/>
      <c r="V46" s="336"/>
      <c r="W46" s="336"/>
      <c r="X46" s="336"/>
      <c r="Y46" s="336"/>
      <c r="Z46" s="336"/>
      <c r="AA46" s="336"/>
      <c r="AB46" s="349"/>
    </row>
    <row r="47" spans="1:28" ht="13.8" thickBot="1">
      <c r="A47" s="324">
        <f t="shared" si="0"/>
        <v>38</v>
      </c>
      <c r="B47" s="353" t="s">
        <v>176</v>
      </c>
      <c r="C47" s="353"/>
      <c r="D47" s="353"/>
      <c r="E47" s="330"/>
      <c r="F47" s="368"/>
      <c r="G47" s="369">
        <f>G44-G46</f>
        <v>-4028691.3819535496</v>
      </c>
      <c r="I47"/>
      <c r="J47"/>
      <c r="K47"/>
      <c r="L47"/>
      <c r="M47"/>
      <c r="N47"/>
      <c r="O47"/>
      <c r="P47" s="336"/>
      <c r="Q47" s="336"/>
      <c r="R47" s="336"/>
      <c r="S47" s="336"/>
      <c r="T47" s="314"/>
      <c r="U47" s="336"/>
      <c r="V47" s="336"/>
      <c r="W47" s="336"/>
      <c r="X47" s="336"/>
      <c r="Y47" s="336"/>
      <c r="Z47" s="336"/>
      <c r="AA47" s="336"/>
      <c r="AB47" s="349"/>
    </row>
    <row r="48" spans="1:28" ht="13.8" thickTop="1">
      <c r="A48" s="370"/>
      <c r="B48" s="321"/>
      <c r="C48" s="321"/>
      <c r="D48" s="321"/>
      <c r="E48" s="321"/>
      <c r="F48" s="321"/>
      <c r="I48"/>
      <c r="J48"/>
      <c r="K48"/>
      <c r="L48"/>
      <c r="M48"/>
      <c r="N48"/>
      <c r="O48"/>
      <c r="P48" s="336"/>
      <c r="Q48" s="336"/>
      <c r="R48" s="336"/>
      <c r="S48" s="336"/>
      <c r="T48" s="314"/>
      <c r="U48" s="336"/>
      <c r="V48" s="336"/>
      <c r="W48" s="336"/>
      <c r="X48" s="336"/>
      <c r="Y48" s="336"/>
      <c r="Z48" s="336"/>
      <c r="AA48" s="336"/>
      <c r="AB48" s="349"/>
    </row>
    <row r="49" spans="1:28">
      <c r="A49" s="370"/>
      <c r="B49" s="321"/>
      <c r="C49" s="321"/>
      <c r="D49" s="321"/>
      <c r="E49" s="321"/>
      <c r="F49" s="321"/>
      <c r="I49"/>
      <c r="J49"/>
      <c r="K49"/>
      <c r="L49"/>
      <c r="M49"/>
      <c r="N49"/>
      <c r="O49"/>
      <c r="P49" s="336"/>
      <c r="Q49" s="336"/>
      <c r="R49" s="336"/>
      <c r="S49" s="336"/>
      <c r="T49" s="314"/>
      <c r="U49" s="336"/>
      <c r="V49" s="336"/>
      <c r="W49" s="336"/>
      <c r="X49" s="336"/>
      <c r="Y49" s="336"/>
      <c r="Z49" s="336"/>
      <c r="AA49" s="336"/>
      <c r="AB49" s="349"/>
    </row>
    <row r="50" spans="1:28">
      <c r="A50" s="370"/>
      <c r="B50" s="321"/>
      <c r="C50" s="321"/>
      <c r="D50" s="321"/>
      <c r="E50" s="321"/>
      <c r="F50" s="321"/>
      <c r="I50"/>
      <c r="J50"/>
      <c r="K50"/>
      <c r="L50"/>
      <c r="M50"/>
      <c r="N50"/>
      <c r="O50"/>
      <c r="P50" s="336"/>
      <c r="Q50" s="336"/>
      <c r="R50" s="336"/>
      <c r="S50" s="336"/>
      <c r="T50" s="314"/>
      <c r="U50" s="336"/>
      <c r="V50" s="336"/>
      <c r="W50" s="336"/>
      <c r="X50" s="336"/>
      <c r="Y50" s="336"/>
      <c r="Z50" s="336"/>
      <c r="AA50" s="336"/>
      <c r="AB50" s="349"/>
    </row>
    <row r="51" spans="1:28">
      <c r="A51" s="370"/>
      <c r="B51" s="321"/>
      <c r="C51" s="321"/>
      <c r="D51" s="321"/>
      <c r="E51" s="321"/>
      <c r="F51" s="321"/>
      <c r="I51"/>
      <c r="J51"/>
      <c r="K51"/>
      <c r="L51"/>
      <c r="M51"/>
      <c r="N51"/>
      <c r="O51"/>
      <c r="P51" s="336"/>
      <c r="Q51" s="336"/>
      <c r="R51" s="336"/>
      <c r="S51" s="336"/>
      <c r="T51" s="314"/>
      <c r="U51" s="336"/>
      <c r="V51" s="336"/>
      <c r="W51" s="336"/>
      <c r="X51" s="336"/>
      <c r="Y51" s="336"/>
      <c r="Z51" s="336"/>
      <c r="AA51" s="336"/>
      <c r="AB51" s="349"/>
    </row>
    <row r="52" spans="1:28">
      <c r="A52" s="370"/>
      <c r="B52" s="321"/>
      <c r="C52" s="67"/>
      <c r="D52" s="67"/>
      <c r="E52" s="67"/>
      <c r="F52" s="67"/>
      <c r="J52"/>
      <c r="K52"/>
      <c r="L52"/>
      <c r="M52"/>
      <c r="N52"/>
      <c r="O52"/>
      <c r="P52" s="336"/>
      <c r="Q52" s="336"/>
      <c r="R52" s="336"/>
      <c r="S52" s="336"/>
      <c r="T52" s="314"/>
      <c r="U52" s="336"/>
      <c r="V52" s="336"/>
      <c r="W52" s="336"/>
      <c r="X52" s="336"/>
      <c r="Y52" s="336"/>
      <c r="Z52" s="336"/>
      <c r="AA52" s="336"/>
      <c r="AB52" s="349"/>
    </row>
    <row r="53" spans="1:28">
      <c r="A53" s="325"/>
      <c r="C53" s="67"/>
      <c r="D53" s="67"/>
      <c r="E53" s="67"/>
      <c r="F53" s="67"/>
      <c r="J53"/>
      <c r="K53"/>
      <c r="L53"/>
      <c r="M53"/>
      <c r="N53"/>
      <c r="O53"/>
      <c r="P53" s="336"/>
      <c r="Q53" s="336"/>
      <c r="R53" s="336"/>
      <c r="S53" s="336"/>
      <c r="T53" s="314"/>
      <c r="U53" s="336"/>
      <c r="V53" s="336"/>
      <c r="W53" s="336"/>
      <c r="X53" s="336"/>
      <c r="Y53" s="336"/>
      <c r="Z53" s="336"/>
      <c r="AA53" s="336"/>
      <c r="AB53" s="349"/>
    </row>
    <row r="54" spans="1:28">
      <c r="C54" s="67"/>
      <c r="D54" s="67"/>
      <c r="E54" s="67"/>
      <c r="F54" s="67"/>
      <c r="J54"/>
      <c r="K54"/>
      <c r="L54"/>
      <c r="M54"/>
      <c r="N54"/>
      <c r="O54"/>
      <c r="P54" s="336"/>
      <c r="Q54" s="336"/>
      <c r="R54" s="336"/>
      <c r="S54" s="336"/>
      <c r="T54" s="314"/>
      <c r="U54" s="336"/>
      <c r="V54" s="336"/>
      <c r="W54" s="336"/>
      <c r="X54" s="336"/>
      <c r="Y54" s="336"/>
      <c r="Z54" s="336"/>
      <c r="AA54" s="336"/>
      <c r="AB54" s="349"/>
    </row>
    <row r="55" spans="1:28">
      <c r="C55" s="67"/>
      <c r="D55" s="67"/>
      <c r="E55" s="67"/>
      <c r="F55" s="67"/>
      <c r="J55"/>
      <c r="K55"/>
      <c r="L55"/>
      <c r="M55"/>
      <c r="N55"/>
      <c r="O55"/>
      <c r="P55" s="336"/>
      <c r="Q55" s="336"/>
      <c r="R55" s="336"/>
      <c r="S55" s="336"/>
      <c r="T55" s="314"/>
      <c r="U55" s="336"/>
      <c r="V55" s="336"/>
      <c r="W55" s="336"/>
      <c r="X55" s="336"/>
      <c r="Y55" s="336"/>
      <c r="Z55" s="336"/>
      <c r="AA55" s="336"/>
      <c r="AB55" s="349"/>
    </row>
    <row r="56" spans="1:28">
      <c r="C56" s="67"/>
      <c r="D56" s="67"/>
      <c r="E56" s="67"/>
      <c r="F56" s="67"/>
      <c r="J56"/>
      <c r="K56"/>
      <c r="L56"/>
      <c r="M56"/>
      <c r="N56"/>
      <c r="O56"/>
      <c r="P56" s="336"/>
      <c r="Q56" s="336"/>
      <c r="R56" s="336"/>
      <c r="S56" s="336"/>
      <c r="T56" s="314"/>
      <c r="U56" s="336"/>
      <c r="V56" s="336"/>
      <c r="W56" s="336"/>
      <c r="X56" s="336"/>
      <c r="Y56" s="336"/>
      <c r="Z56" s="336"/>
      <c r="AA56" s="336"/>
      <c r="AB56" s="349"/>
    </row>
    <row r="57" spans="1:28">
      <c r="C57" s="67"/>
      <c r="D57" s="67"/>
      <c r="E57" s="67"/>
      <c r="F57" s="67"/>
      <c r="J57"/>
      <c r="K57"/>
      <c r="L57"/>
      <c r="M57"/>
      <c r="N57"/>
      <c r="O57"/>
      <c r="P57" s="336"/>
      <c r="Q57" s="336"/>
      <c r="R57" s="336"/>
      <c r="S57" s="336"/>
      <c r="T57" s="314"/>
      <c r="U57" s="336"/>
      <c r="V57" s="336"/>
      <c r="W57" s="336"/>
      <c r="X57" s="336"/>
      <c r="Y57" s="336"/>
      <c r="Z57" s="336"/>
      <c r="AA57" s="336"/>
      <c r="AB57" s="349"/>
    </row>
    <row r="58" spans="1:28">
      <c r="C58" s="67"/>
      <c r="D58" s="67"/>
      <c r="E58" s="67"/>
      <c r="F58" s="67"/>
      <c r="J58"/>
      <c r="K58"/>
      <c r="L58"/>
      <c r="M58"/>
      <c r="N58"/>
      <c r="O58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</row>
    <row r="59" spans="1:28">
      <c r="C59" s="67"/>
      <c r="D59" s="67"/>
      <c r="E59" s="67"/>
      <c r="F59" s="67"/>
      <c r="J59"/>
      <c r="K59"/>
      <c r="L59"/>
      <c r="M59"/>
      <c r="N59"/>
      <c r="O59"/>
      <c r="P59" s="314"/>
      <c r="Q59" s="318"/>
      <c r="R59" s="319"/>
      <c r="S59" s="319"/>
      <c r="T59" s="314"/>
      <c r="U59" s="314"/>
      <c r="V59" s="314"/>
      <c r="W59" s="314"/>
      <c r="X59" s="314"/>
      <c r="Y59" s="314"/>
      <c r="Z59" s="314"/>
      <c r="AA59" s="314"/>
    </row>
    <row r="60" spans="1:28">
      <c r="C60" s="67"/>
      <c r="D60" s="67"/>
      <c r="E60" s="67"/>
      <c r="F60" s="67"/>
      <c r="J60"/>
      <c r="K60"/>
      <c r="L60"/>
      <c r="M60"/>
      <c r="N60"/>
      <c r="O60"/>
      <c r="P60" s="314"/>
      <c r="Q60" s="318"/>
      <c r="R60" s="319"/>
      <c r="S60" s="319"/>
      <c r="T60" s="314"/>
      <c r="U60" s="314"/>
      <c r="V60" s="314"/>
      <c r="W60" s="314"/>
      <c r="X60" s="314"/>
      <c r="Y60" s="314"/>
      <c r="Z60" s="314"/>
      <c r="AA60" s="314"/>
    </row>
    <row r="61" spans="1:28">
      <c r="C61" s="67"/>
      <c r="D61" s="67"/>
      <c r="E61" s="67"/>
      <c r="F61" s="67"/>
      <c r="J61"/>
      <c r="K61"/>
      <c r="L61"/>
      <c r="M61"/>
      <c r="N61"/>
      <c r="O61"/>
      <c r="P61" s="314"/>
      <c r="Q61" s="329"/>
      <c r="R61" s="329"/>
      <c r="S61" s="329"/>
      <c r="T61" s="314"/>
      <c r="U61" s="314"/>
      <c r="V61" s="314"/>
      <c r="W61" s="314"/>
      <c r="X61" s="314"/>
      <c r="Y61" s="314"/>
      <c r="Z61" s="314"/>
      <c r="AA61" s="314"/>
    </row>
    <row r="62" spans="1:28">
      <c r="C62" s="67"/>
      <c r="D62" s="67"/>
      <c r="E62" s="67"/>
      <c r="F62" s="67"/>
      <c r="J62"/>
      <c r="K62"/>
      <c r="L62"/>
      <c r="M62"/>
      <c r="N62"/>
      <c r="O62"/>
      <c r="P62" s="314"/>
      <c r="Q62" s="336"/>
      <c r="R62" s="336"/>
      <c r="S62" s="336"/>
      <c r="T62" s="314"/>
      <c r="U62" s="314"/>
      <c r="V62" s="314"/>
      <c r="W62" s="314"/>
      <c r="X62" s="314"/>
      <c r="Y62" s="314"/>
      <c r="Z62" s="314"/>
      <c r="AA62" s="314"/>
    </row>
    <row r="63" spans="1:28">
      <c r="C63" s="67"/>
      <c r="D63" s="67"/>
      <c r="E63" s="67"/>
      <c r="F63" s="67"/>
      <c r="J63"/>
      <c r="K63"/>
      <c r="L63"/>
      <c r="M63"/>
      <c r="N63"/>
      <c r="O63"/>
      <c r="P63" s="314"/>
      <c r="Q63" s="336"/>
      <c r="R63" s="336"/>
      <c r="S63" s="336"/>
      <c r="T63" s="314"/>
      <c r="U63" s="314"/>
      <c r="V63" s="314"/>
      <c r="W63" s="314"/>
      <c r="X63" s="314"/>
      <c r="Y63" s="314"/>
      <c r="Z63" s="314"/>
      <c r="AA63" s="314"/>
    </row>
    <row r="64" spans="1:28">
      <c r="C64" s="67"/>
      <c r="D64" s="67"/>
      <c r="E64" s="67"/>
      <c r="F64" s="67"/>
      <c r="J64"/>
      <c r="K64"/>
      <c r="L64"/>
      <c r="M64"/>
      <c r="N64"/>
      <c r="O64"/>
      <c r="P64" s="314"/>
      <c r="Q64" s="336"/>
      <c r="R64" s="336"/>
      <c r="S64" s="336"/>
      <c r="T64" s="314"/>
      <c r="U64" s="314"/>
      <c r="V64" s="314"/>
      <c r="W64" s="314"/>
      <c r="X64" s="314"/>
      <c r="Y64" s="314"/>
      <c r="Z64" s="314"/>
      <c r="AA64" s="314"/>
    </row>
    <row r="65" spans="1:27">
      <c r="A65" s="308"/>
      <c r="C65" s="67"/>
      <c r="D65" s="67"/>
      <c r="E65" s="67"/>
      <c r="F65" s="67"/>
      <c r="J65"/>
      <c r="K65"/>
      <c r="L65"/>
      <c r="M65"/>
      <c r="N65"/>
      <c r="O65"/>
      <c r="P65" s="314"/>
      <c r="Q65" s="336"/>
      <c r="R65" s="336"/>
      <c r="S65" s="336"/>
      <c r="T65" s="314"/>
      <c r="U65" s="314"/>
      <c r="V65" s="314"/>
      <c r="W65" s="314"/>
      <c r="X65" s="314"/>
      <c r="Y65" s="314"/>
      <c r="Z65" s="314"/>
      <c r="AA65" s="314"/>
    </row>
    <row r="66" spans="1:27">
      <c r="A66" s="308"/>
      <c r="C66" s="67"/>
      <c r="D66" s="67"/>
      <c r="E66" s="67"/>
      <c r="F66" s="67"/>
      <c r="J66"/>
      <c r="K66"/>
      <c r="L66"/>
      <c r="M66"/>
      <c r="N66"/>
      <c r="O66"/>
      <c r="P66" s="314"/>
      <c r="Q66" s="336"/>
      <c r="R66" s="336"/>
      <c r="S66" s="336"/>
      <c r="T66" s="314"/>
      <c r="U66" s="314"/>
      <c r="V66" s="314"/>
      <c r="W66" s="314"/>
      <c r="X66" s="314"/>
      <c r="Y66" s="314"/>
      <c r="Z66" s="314"/>
      <c r="AA66" s="314"/>
    </row>
    <row r="67" spans="1:27">
      <c r="A67" s="308"/>
      <c r="C67" s="67"/>
      <c r="D67" s="67"/>
      <c r="E67" s="67"/>
      <c r="F67" s="67"/>
      <c r="J67"/>
      <c r="K67"/>
      <c r="O67" s="371"/>
      <c r="P67" s="314"/>
      <c r="Q67" s="336"/>
      <c r="R67" s="336"/>
      <c r="S67" s="336"/>
      <c r="T67" s="314"/>
      <c r="U67" s="314"/>
      <c r="V67" s="314"/>
      <c r="W67" s="314"/>
      <c r="X67" s="314"/>
      <c r="Y67" s="314"/>
      <c r="Z67" s="314"/>
      <c r="AA67" s="314"/>
    </row>
    <row r="68" spans="1:27">
      <c r="A68" s="308"/>
      <c r="C68" s="67"/>
      <c r="D68" s="67"/>
      <c r="E68" s="67"/>
      <c r="F68" s="67"/>
      <c r="O68" s="371"/>
      <c r="P68" s="314"/>
      <c r="Q68" s="336"/>
      <c r="R68" s="336"/>
      <c r="S68" s="336"/>
      <c r="T68" s="314"/>
      <c r="U68" s="314"/>
      <c r="V68" s="314"/>
      <c r="W68" s="314"/>
      <c r="X68" s="314"/>
      <c r="Y68" s="314"/>
      <c r="Z68" s="314"/>
      <c r="AA68" s="314"/>
    </row>
    <row r="69" spans="1:27">
      <c r="A69" s="308"/>
      <c r="C69" s="67"/>
      <c r="D69" s="67"/>
      <c r="E69" s="67"/>
      <c r="F69" s="67"/>
      <c r="O69" s="371"/>
      <c r="P69" s="314"/>
      <c r="Q69" s="336"/>
      <c r="R69" s="336"/>
      <c r="S69" s="336"/>
      <c r="T69" s="314"/>
      <c r="U69" s="314"/>
      <c r="V69" s="314"/>
      <c r="W69" s="314"/>
      <c r="X69" s="314"/>
      <c r="Y69" s="314"/>
      <c r="Z69" s="314"/>
      <c r="AA69" s="314"/>
    </row>
    <row r="70" spans="1:27">
      <c r="A70" s="308"/>
      <c r="C70" s="67"/>
      <c r="D70" s="67"/>
      <c r="E70" s="67"/>
      <c r="F70" s="67"/>
      <c r="O70" s="371"/>
      <c r="P70" s="314"/>
      <c r="Q70" s="336"/>
      <c r="R70" s="336"/>
      <c r="S70" s="336"/>
      <c r="T70" s="314"/>
      <c r="U70" s="314"/>
      <c r="V70" s="314"/>
      <c r="W70" s="314"/>
      <c r="X70" s="314"/>
      <c r="Y70" s="314"/>
      <c r="Z70" s="314"/>
      <c r="AA70" s="314"/>
    </row>
    <row r="71" spans="1:27">
      <c r="A71" s="308"/>
      <c r="C71" s="67"/>
      <c r="D71" s="67"/>
      <c r="E71" s="67"/>
      <c r="F71" s="67"/>
      <c r="O71" s="371"/>
      <c r="P71" s="314"/>
      <c r="Q71" s="336"/>
      <c r="R71" s="336"/>
      <c r="S71" s="336"/>
      <c r="T71" s="314"/>
      <c r="U71" s="314"/>
      <c r="V71" s="314"/>
      <c r="W71" s="314"/>
      <c r="X71" s="314"/>
      <c r="Y71" s="314"/>
      <c r="Z71" s="314"/>
      <c r="AA71" s="314"/>
    </row>
    <row r="72" spans="1:27">
      <c r="A72" s="308"/>
      <c r="C72" s="67"/>
      <c r="D72" s="67"/>
      <c r="E72" s="67"/>
      <c r="F72" s="67"/>
      <c r="O72" s="371"/>
      <c r="P72" s="314"/>
      <c r="Q72" s="336"/>
      <c r="R72" s="336"/>
      <c r="S72" s="336"/>
      <c r="T72" s="314"/>
      <c r="U72" s="314"/>
      <c r="V72" s="314"/>
      <c r="W72" s="314"/>
      <c r="X72" s="314"/>
      <c r="Y72" s="314"/>
      <c r="Z72" s="314"/>
      <c r="AA72" s="314"/>
    </row>
    <row r="73" spans="1:27">
      <c r="A73" s="308"/>
      <c r="C73" s="67"/>
      <c r="D73" s="67"/>
      <c r="E73" s="67"/>
      <c r="F73" s="67"/>
      <c r="O73" s="371"/>
      <c r="P73" s="314"/>
      <c r="Q73" s="336"/>
      <c r="R73" s="336"/>
      <c r="S73" s="336"/>
      <c r="T73" s="314"/>
      <c r="U73" s="314"/>
      <c r="V73" s="314"/>
      <c r="W73" s="314"/>
      <c r="X73" s="314"/>
      <c r="Y73" s="314"/>
      <c r="Z73" s="314"/>
      <c r="AA73" s="314"/>
    </row>
    <row r="74" spans="1:27">
      <c r="A74" s="308"/>
      <c r="C74" s="67"/>
      <c r="D74" s="67"/>
      <c r="E74" s="67"/>
      <c r="F74" s="67"/>
      <c r="O74" s="371"/>
      <c r="P74" s="314"/>
      <c r="Q74" s="336"/>
      <c r="R74" s="336"/>
      <c r="S74" s="336"/>
      <c r="T74" s="314"/>
      <c r="U74" s="314"/>
      <c r="V74" s="314"/>
      <c r="W74" s="314"/>
      <c r="X74" s="314"/>
      <c r="Y74" s="314"/>
      <c r="Z74" s="314"/>
      <c r="AA74" s="314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workbookViewId="0">
      <selection activeCell="E27" sqref="E27"/>
    </sheetView>
  </sheetViews>
  <sheetFormatPr defaultRowHeight="13.2"/>
  <cols>
    <col min="1" max="1" width="9.33203125" style="9" bestFit="1" customWidth="1"/>
    <col min="2" max="2" width="40.33203125" bestFit="1" customWidth="1"/>
    <col min="3" max="4" width="16.5546875" bestFit="1" customWidth="1"/>
    <col min="5" max="5" width="15.33203125" customWidth="1"/>
    <col min="6" max="6" width="9.5546875" customWidth="1"/>
    <col min="9" max="9" width="1" customWidth="1"/>
    <col min="10" max="11" width="10.6640625" customWidth="1"/>
    <col min="12" max="12" width="9.6640625" customWidth="1"/>
    <col min="13" max="13" width="0.6640625" customWidth="1"/>
    <col min="14" max="15" width="10.6640625" customWidth="1"/>
    <col min="16" max="16" width="10.6640625" bestFit="1" customWidth="1"/>
    <col min="17" max="17" width="0.6640625" customWidth="1"/>
    <col min="18" max="19" width="10.6640625" customWidth="1"/>
  </cols>
  <sheetData>
    <row r="1" spans="1:20">
      <c r="B1" s="9"/>
      <c r="C1" s="9"/>
      <c r="D1" s="9"/>
      <c r="E1" s="9"/>
    </row>
    <row r="2" spans="1:20">
      <c r="A2" s="10" t="s">
        <v>106</v>
      </c>
      <c r="B2" s="10"/>
      <c r="C2" s="10"/>
      <c r="D2" s="10"/>
      <c r="E2" s="10"/>
    </row>
    <row r="3" spans="1:20">
      <c r="A3" s="10" t="s">
        <v>12</v>
      </c>
      <c r="B3" s="10"/>
      <c r="C3" s="10"/>
      <c r="D3" s="10"/>
      <c r="E3" s="10"/>
    </row>
    <row r="4" spans="1:20">
      <c r="A4" s="11" t="s">
        <v>165</v>
      </c>
      <c r="B4" s="11"/>
      <c r="C4" s="11"/>
      <c r="D4" s="11"/>
      <c r="E4" s="11"/>
    </row>
    <row r="5" spans="1:20" ht="15.75" customHeight="1">
      <c r="A5" s="10"/>
      <c r="B5" s="10"/>
      <c r="C5" s="10"/>
      <c r="D5" s="10"/>
      <c r="E5" s="10"/>
      <c r="H5" s="440" t="s">
        <v>87</v>
      </c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</row>
    <row r="6" spans="1:20" ht="15.6">
      <c r="A6" s="12"/>
      <c r="B6" s="9"/>
      <c r="C6" s="9"/>
      <c r="D6" s="9"/>
      <c r="E6" s="9"/>
      <c r="H6" s="440" t="s">
        <v>94</v>
      </c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</row>
    <row r="7" spans="1:20">
      <c r="A7" s="13" t="s">
        <v>13</v>
      </c>
      <c r="B7" s="14"/>
      <c r="C7" s="14"/>
      <c r="D7" s="14"/>
      <c r="E7" s="9"/>
    </row>
    <row r="8" spans="1:20">
      <c r="A8" s="16" t="s">
        <v>14</v>
      </c>
      <c r="B8" s="17" t="s">
        <v>15</v>
      </c>
      <c r="C8" s="17"/>
      <c r="D8" s="17"/>
      <c r="E8" s="18"/>
      <c r="J8" s="150" t="s">
        <v>90</v>
      </c>
      <c r="K8" s="151"/>
      <c r="L8" s="151"/>
      <c r="M8" s="152"/>
      <c r="N8" s="150" t="s">
        <v>98</v>
      </c>
      <c r="O8" s="151"/>
      <c r="P8" s="151"/>
      <c r="Q8" s="152"/>
      <c r="R8" s="150" t="s">
        <v>101</v>
      </c>
      <c r="S8" s="151"/>
      <c r="T8" s="151"/>
    </row>
    <row r="9" spans="1:20">
      <c r="A9" s="12"/>
      <c r="B9" s="19"/>
      <c r="C9" s="20"/>
      <c r="D9" s="21"/>
      <c r="E9" s="19"/>
      <c r="J9" s="153" t="s">
        <v>91</v>
      </c>
      <c r="K9" s="154"/>
      <c r="L9" s="154"/>
      <c r="M9" s="152"/>
      <c r="N9" s="153" t="s">
        <v>92</v>
      </c>
      <c r="O9" s="154"/>
      <c r="P9" s="154"/>
      <c r="Q9" s="152"/>
      <c r="R9" s="153" t="s">
        <v>93</v>
      </c>
      <c r="S9" s="154"/>
      <c r="T9" s="154"/>
    </row>
    <row r="10" spans="1:20">
      <c r="A10" s="22">
        <v>1</v>
      </c>
      <c r="B10" s="23"/>
      <c r="C10" s="24" t="s">
        <v>16</v>
      </c>
      <c r="D10" s="25" t="s">
        <v>17</v>
      </c>
      <c r="E10" s="26" t="s">
        <v>107</v>
      </c>
      <c r="H10" s="147" t="s">
        <v>53</v>
      </c>
      <c r="I10" s="147"/>
      <c r="J10" s="147" t="s">
        <v>86</v>
      </c>
      <c r="K10" s="147" t="s">
        <v>88</v>
      </c>
      <c r="L10" s="147" t="s">
        <v>89</v>
      </c>
      <c r="M10" s="9"/>
      <c r="N10" s="147" t="s">
        <v>86</v>
      </c>
      <c r="O10" s="147" t="s">
        <v>88</v>
      </c>
      <c r="P10" s="147" t="s">
        <v>89</v>
      </c>
      <c r="Q10" s="9"/>
      <c r="R10" s="147" t="s">
        <v>86</v>
      </c>
      <c r="S10" s="147" t="s">
        <v>88</v>
      </c>
      <c r="T10" s="147" t="s">
        <v>89</v>
      </c>
    </row>
    <row r="11" spans="1:20">
      <c r="A11" s="22">
        <f t="shared" ref="A11:A34" si="0">A10+1</f>
        <v>2</v>
      </c>
      <c r="B11" s="23"/>
      <c r="C11" s="98" t="s">
        <v>107</v>
      </c>
      <c r="D11" s="27" t="s">
        <v>107</v>
      </c>
      <c r="E11" s="28" t="s">
        <v>18</v>
      </c>
      <c r="F11" s="89"/>
      <c r="H11" s="148">
        <f t="shared" ref="H11:H22" si="1">B12</f>
        <v>44197</v>
      </c>
      <c r="I11" s="40"/>
      <c r="J11" s="170">
        <f t="array" ref="J11:J22">TRANSPOSE('Actual Total Usage'!B9:M9)/1000</f>
        <v>1225129.863629</v>
      </c>
      <c r="K11" s="170">
        <f t="array" ref="K11:K22">TRANSPOSE('Normalized TotalUsage'!B8:M8)/1000</f>
        <v>1270744.0278899935</v>
      </c>
      <c r="L11" s="170">
        <f>K11-J11</f>
        <v>45614.164260993479</v>
      </c>
      <c r="M11" s="170"/>
      <c r="N11" s="170">
        <f t="array" ref="N11:N22">TRANSPOSE('Actual Total Usage'!B13:M13)/1000</f>
        <v>228179.27009799998</v>
      </c>
      <c r="O11" s="170">
        <f t="array" ref="O11:O22">TRANSPOSE('Normalized TotalUsage'!B13:M13)/1000</f>
        <v>234170.59168693476</v>
      </c>
      <c r="P11" s="170">
        <f>O11-N11</f>
        <v>5991.3215889347775</v>
      </c>
      <c r="Q11" s="170"/>
      <c r="R11" s="170">
        <f t="array" ref="R11:R22">TRANSPOSE('Actual Total Usage'!B17:M17)/1000</f>
        <v>226083.08567299999</v>
      </c>
      <c r="S11" s="170">
        <f t="array" ref="S11:S22">TRANSPOSE('Normalized TotalUsage'!B17:M17)/1000</f>
        <v>230212.432926974</v>
      </c>
      <c r="T11" s="170">
        <f>S11-R11</f>
        <v>4129.3472539740033</v>
      </c>
    </row>
    <row r="12" spans="1:20">
      <c r="A12" s="22">
        <f t="shared" si="0"/>
        <v>3</v>
      </c>
      <c r="B12" s="29">
        <v>44197</v>
      </c>
      <c r="C12" s="175">
        <f>J62*1000</f>
        <v>1915563398.062</v>
      </c>
      <c r="D12" s="176">
        <f>K62*1000</f>
        <v>1973231246.5583563</v>
      </c>
      <c r="E12" s="169">
        <f>+D12-C12</f>
        <v>57667848.496356249</v>
      </c>
      <c r="F12" s="91"/>
      <c r="H12" s="148">
        <f t="shared" si="1"/>
        <v>44228</v>
      </c>
      <c r="I12" s="40"/>
      <c r="J12" s="170">
        <v>1184508.190465</v>
      </c>
      <c r="K12" s="170">
        <v>1147123.1162697673</v>
      </c>
      <c r="L12" s="170">
        <f t="shared" ref="L12:L22" si="2">K12-J12</f>
        <v>-37385.074195232708</v>
      </c>
      <c r="M12" s="170"/>
      <c r="N12" s="170">
        <v>240346.76112000001</v>
      </c>
      <c r="O12" s="170">
        <v>236071.24243598431</v>
      </c>
      <c r="P12" s="170">
        <f t="shared" ref="P12:P22" si="3">O12-N12</f>
        <v>-4275.5186840156966</v>
      </c>
      <c r="Q12" s="170"/>
      <c r="R12" s="170">
        <v>243987.18585299997</v>
      </c>
      <c r="S12" s="170">
        <v>241338.46290103593</v>
      </c>
      <c r="T12" s="170">
        <f t="shared" ref="T12:T22" si="4">S12-R12</f>
        <v>-2648.7229519640387</v>
      </c>
    </row>
    <row r="13" spans="1:20">
      <c r="A13" s="22">
        <f t="shared" si="0"/>
        <v>4</v>
      </c>
      <c r="B13" s="29">
        <v>44228</v>
      </c>
      <c r="C13" s="175">
        <f t="shared" ref="C13:D13" si="5">J63*1000</f>
        <v>1932924316.3439999</v>
      </c>
      <c r="D13" s="176">
        <f t="shared" si="5"/>
        <v>1886985202.038095</v>
      </c>
      <c r="E13" s="169">
        <f t="shared" ref="E13:E23" si="6">+D13-C13</f>
        <v>-45939114.305904865</v>
      </c>
      <c r="F13" s="91"/>
      <c r="H13" s="148">
        <f t="shared" si="1"/>
        <v>44256</v>
      </c>
      <c r="I13" s="40"/>
      <c r="J13" s="170">
        <v>1180047.6694449999</v>
      </c>
      <c r="K13" s="170">
        <v>1173399.9364556293</v>
      </c>
      <c r="L13" s="170">
        <f t="shared" si="2"/>
        <v>-6647.7329893705901</v>
      </c>
      <c r="M13" s="170"/>
      <c r="N13" s="170">
        <v>231406.83298600002</v>
      </c>
      <c r="O13" s="170">
        <v>231615.08211983071</v>
      </c>
      <c r="P13" s="170">
        <f t="shared" si="3"/>
        <v>208.24913383068633</v>
      </c>
      <c r="Q13" s="170"/>
      <c r="R13" s="170">
        <v>249025.73835200001</v>
      </c>
      <c r="S13" s="170">
        <v>249675.16863246317</v>
      </c>
      <c r="T13" s="170">
        <f t="shared" si="4"/>
        <v>649.43028046315885</v>
      </c>
    </row>
    <row r="14" spans="1:20">
      <c r="A14" s="22">
        <f t="shared" si="0"/>
        <v>5</v>
      </c>
      <c r="B14" s="29">
        <v>44256</v>
      </c>
      <c r="C14" s="175">
        <f t="shared" ref="C14:D14" si="7">J64*1000</f>
        <v>1938339907.2279997</v>
      </c>
      <c r="D14" s="176">
        <f t="shared" si="7"/>
        <v>1932225173.5531116</v>
      </c>
      <c r="E14" s="169">
        <f t="shared" si="6"/>
        <v>-6114733.674888134</v>
      </c>
      <c r="F14" s="91"/>
      <c r="H14" s="148">
        <f t="shared" si="1"/>
        <v>44287</v>
      </c>
      <c r="I14" s="40"/>
      <c r="J14" s="170">
        <v>1011554.637399</v>
      </c>
      <c r="K14" s="170">
        <v>1056966.7156267562</v>
      </c>
      <c r="L14" s="170">
        <f t="shared" si="2"/>
        <v>45412.078227756196</v>
      </c>
      <c r="M14" s="170"/>
      <c r="N14" s="170">
        <v>240613.93888199999</v>
      </c>
      <c r="O14" s="170">
        <v>244498.46120415928</v>
      </c>
      <c r="P14" s="170">
        <f t="shared" si="3"/>
        <v>3884.5223221592896</v>
      </c>
      <c r="Q14" s="170"/>
      <c r="R14" s="170">
        <v>240486.110181</v>
      </c>
      <c r="S14" s="170">
        <v>242181.54539059926</v>
      </c>
      <c r="T14" s="170">
        <f t="shared" si="4"/>
        <v>1695.4352095992654</v>
      </c>
    </row>
    <row r="15" spans="1:20">
      <c r="A15" s="22">
        <f t="shared" si="0"/>
        <v>6</v>
      </c>
      <c r="B15" s="29">
        <v>44287</v>
      </c>
      <c r="C15" s="175">
        <f t="shared" ref="C15:D15" si="8">J65*1000</f>
        <v>1758891449.0170002</v>
      </c>
      <c r="D15" s="176">
        <f t="shared" si="8"/>
        <v>1811292086.5656819</v>
      </c>
      <c r="E15" s="169">
        <f t="shared" si="6"/>
        <v>52400637.548681736</v>
      </c>
      <c r="F15" s="192"/>
      <c r="H15" s="148">
        <f t="shared" si="1"/>
        <v>44317</v>
      </c>
      <c r="I15" s="40"/>
      <c r="J15" s="170">
        <v>795031.67211399996</v>
      </c>
      <c r="K15" s="170">
        <v>799725.03981645999</v>
      </c>
      <c r="L15" s="170">
        <f t="shared" si="2"/>
        <v>4693.3677024600329</v>
      </c>
      <c r="M15" s="170"/>
      <c r="N15" s="170">
        <v>190172.28276</v>
      </c>
      <c r="O15" s="170">
        <v>191115.59384287006</v>
      </c>
      <c r="P15" s="170">
        <f t="shared" si="3"/>
        <v>943.31108287005918</v>
      </c>
      <c r="Q15" s="170"/>
      <c r="R15" s="170">
        <v>216357.57885899997</v>
      </c>
      <c r="S15" s="170">
        <v>217199.50270904112</v>
      </c>
      <c r="T15" s="170">
        <f t="shared" si="4"/>
        <v>841.92385004114476</v>
      </c>
    </row>
    <row r="16" spans="1:20">
      <c r="A16" s="22">
        <f t="shared" si="0"/>
        <v>7</v>
      </c>
      <c r="B16" s="29">
        <v>44317</v>
      </c>
      <c r="C16" s="175">
        <f t="shared" ref="C16:D16" si="9">J66*1000</f>
        <v>1441798683.5949998</v>
      </c>
      <c r="D16" s="176">
        <f t="shared" si="9"/>
        <v>1449070802.9324839</v>
      </c>
      <c r="E16" s="169">
        <f t="shared" si="6"/>
        <v>7272119.3374841213</v>
      </c>
      <c r="F16" s="91"/>
      <c r="H16" s="148">
        <f t="shared" si="1"/>
        <v>44348</v>
      </c>
      <c r="I16" s="40"/>
      <c r="J16" s="170">
        <v>740642.244374</v>
      </c>
      <c r="K16" s="170">
        <v>680980.85010418668</v>
      </c>
      <c r="L16" s="170">
        <f t="shared" si="2"/>
        <v>-59661.394269813318</v>
      </c>
      <c r="M16" s="170"/>
      <c r="N16" s="170">
        <v>223346.53107</v>
      </c>
      <c r="O16" s="170">
        <v>212270.95140175871</v>
      </c>
      <c r="P16" s="170">
        <f t="shared" si="3"/>
        <v>-11075.579668241291</v>
      </c>
      <c r="Q16" s="170"/>
      <c r="R16" s="170">
        <v>236397.41810100002</v>
      </c>
      <c r="S16" s="170">
        <v>226798.92453390386</v>
      </c>
      <c r="T16" s="170">
        <f t="shared" si="4"/>
        <v>-9598.4935670961568</v>
      </c>
    </row>
    <row r="17" spans="1:20">
      <c r="A17" s="22">
        <f t="shared" si="0"/>
        <v>8</v>
      </c>
      <c r="B17" s="29">
        <v>44348</v>
      </c>
      <c r="C17" s="175">
        <f t="shared" ref="C17:D17" si="10">J67*1000</f>
        <v>1487830299.1550002</v>
      </c>
      <c r="D17" s="176">
        <f t="shared" si="10"/>
        <v>1400573832.6849489</v>
      </c>
      <c r="E17" s="169">
        <f t="shared" si="6"/>
        <v>-87256466.470051289</v>
      </c>
      <c r="F17" s="91"/>
      <c r="H17" s="148">
        <f t="shared" si="1"/>
        <v>44378</v>
      </c>
      <c r="I17" s="40"/>
      <c r="J17" s="170">
        <v>819671.26523300004</v>
      </c>
      <c r="K17" s="170">
        <v>805802.92072246713</v>
      </c>
      <c r="L17" s="170">
        <f t="shared" si="2"/>
        <v>-13868.344510532916</v>
      </c>
      <c r="M17" s="170"/>
      <c r="N17" s="170">
        <v>232946.30813799999</v>
      </c>
      <c r="O17" s="170">
        <v>230368.35242449402</v>
      </c>
      <c r="P17" s="170">
        <f t="shared" si="3"/>
        <v>-2577.9557135059731</v>
      </c>
      <c r="Q17" s="170"/>
      <c r="R17" s="170">
        <v>253582.22864000002</v>
      </c>
      <c r="S17" s="170">
        <v>251348.84532575245</v>
      </c>
      <c r="T17" s="170">
        <f t="shared" si="4"/>
        <v>-2233.3833142475632</v>
      </c>
    </row>
    <row r="18" spans="1:20">
      <c r="A18" s="22">
        <f t="shared" si="0"/>
        <v>9</v>
      </c>
      <c r="B18" s="29">
        <v>44378</v>
      </c>
      <c r="C18" s="175">
        <f t="shared" ref="C18:D18" si="11">J68*1000</f>
        <v>1584657075.016</v>
      </c>
      <c r="D18" s="176">
        <f t="shared" si="11"/>
        <v>1564366830.7301683</v>
      </c>
      <c r="E18" s="169">
        <f t="shared" si="6"/>
        <v>-20290244.28583169</v>
      </c>
      <c r="F18" s="91"/>
      <c r="H18" s="148">
        <f t="shared" si="1"/>
        <v>44409</v>
      </c>
      <c r="I18" s="40"/>
      <c r="J18" s="170">
        <v>770828.12700399989</v>
      </c>
      <c r="K18" s="170">
        <v>762069.45887545333</v>
      </c>
      <c r="L18" s="170">
        <f t="shared" si="2"/>
        <v>-8758.6681285465602</v>
      </c>
      <c r="M18" s="170"/>
      <c r="N18" s="170">
        <v>215674.53162100003</v>
      </c>
      <c r="O18" s="170">
        <v>214047.59059719951</v>
      </c>
      <c r="P18" s="170">
        <f t="shared" si="3"/>
        <v>-1626.9410238005221</v>
      </c>
      <c r="Q18" s="170"/>
      <c r="R18" s="170">
        <v>243920.17077699999</v>
      </c>
      <c r="S18" s="170">
        <v>242509.93849130475</v>
      </c>
      <c r="T18" s="170">
        <f t="shared" si="4"/>
        <v>-1410.2322856952378</v>
      </c>
    </row>
    <row r="19" spans="1:20">
      <c r="A19" s="22">
        <f t="shared" si="0"/>
        <v>10</v>
      </c>
      <c r="B19" s="29">
        <v>44409</v>
      </c>
      <c r="C19" s="175">
        <f t="shared" ref="C19:D19" si="12">J69*1000</f>
        <v>1502116424.6949999</v>
      </c>
      <c r="D19" s="176">
        <f t="shared" si="12"/>
        <v>1489304601.4225841</v>
      </c>
      <c r="E19" s="169">
        <f t="shared" si="6"/>
        <v>-12811823.272415876</v>
      </c>
      <c r="F19" s="91"/>
      <c r="H19" s="148">
        <f t="shared" si="1"/>
        <v>44440</v>
      </c>
      <c r="I19" s="40"/>
      <c r="J19" s="170">
        <v>742748.13639699994</v>
      </c>
      <c r="K19" s="170">
        <v>744759.18108729261</v>
      </c>
      <c r="L19" s="170">
        <f t="shared" si="2"/>
        <v>2011.0446902926778</v>
      </c>
      <c r="M19" s="170"/>
      <c r="N19" s="170">
        <v>211970.16054500002</v>
      </c>
      <c r="O19" s="170">
        <v>212343.46324132301</v>
      </c>
      <c r="P19" s="170">
        <f t="shared" si="3"/>
        <v>373.30269632299314</v>
      </c>
      <c r="Q19" s="170"/>
      <c r="R19" s="170">
        <v>245479.000252</v>
      </c>
      <c r="S19" s="170">
        <v>245802.73350642077</v>
      </c>
      <c r="T19" s="170">
        <f t="shared" si="4"/>
        <v>323.73325442077476</v>
      </c>
    </row>
    <row r="20" spans="1:20">
      <c r="A20" s="22">
        <f t="shared" si="0"/>
        <v>11</v>
      </c>
      <c r="B20" s="29">
        <v>44440</v>
      </c>
      <c r="C20" s="175">
        <f t="shared" ref="C20:D20" si="13">J70*1000</f>
        <v>1469753684.4739997</v>
      </c>
      <c r="D20" s="176">
        <f t="shared" si="13"/>
        <v>1472695160.094619</v>
      </c>
      <c r="E20" s="169">
        <f t="shared" si="6"/>
        <v>2941475.620619297</v>
      </c>
      <c r="F20" s="91"/>
      <c r="H20" s="148">
        <f t="shared" si="1"/>
        <v>44470</v>
      </c>
      <c r="I20" s="40"/>
      <c r="J20" s="170">
        <v>759044.63876</v>
      </c>
      <c r="K20" s="170">
        <v>745963.97103494208</v>
      </c>
      <c r="L20" s="170">
        <f t="shared" si="2"/>
        <v>-13080.667725057923</v>
      </c>
      <c r="M20" s="170"/>
      <c r="N20" s="170">
        <v>212451.14581199997</v>
      </c>
      <c r="O20" s="170">
        <v>211446.63533974026</v>
      </c>
      <c r="P20" s="170">
        <f t="shared" si="3"/>
        <v>-1004.5104722597171</v>
      </c>
      <c r="Q20" s="170"/>
      <c r="R20" s="170">
        <v>228892.54346000002</v>
      </c>
      <c r="S20" s="170">
        <v>228536.59785736294</v>
      </c>
      <c r="T20" s="170">
        <f t="shared" si="4"/>
        <v>-355.94560263707535</v>
      </c>
    </row>
    <row r="21" spans="1:20">
      <c r="A21" s="22">
        <f t="shared" si="0"/>
        <v>12</v>
      </c>
      <c r="B21" s="29">
        <v>44470</v>
      </c>
      <c r="C21" s="175">
        <f t="shared" ref="C21:D21" si="14">J71*1000</f>
        <v>1459382917.4679999</v>
      </c>
      <c r="D21" s="176">
        <f t="shared" si="14"/>
        <v>1444543693.3216822</v>
      </c>
      <c r="E21" s="169">
        <f t="shared" si="6"/>
        <v>-14839224.14631772</v>
      </c>
      <c r="F21" s="91"/>
      <c r="H21" s="148">
        <f t="shared" si="1"/>
        <v>44501</v>
      </c>
      <c r="I21" s="40"/>
      <c r="J21" s="170">
        <v>941045.00099500001</v>
      </c>
      <c r="K21" s="170">
        <v>979732.18011125375</v>
      </c>
      <c r="L21" s="170">
        <f t="shared" si="2"/>
        <v>38687.179116253741</v>
      </c>
      <c r="M21" s="170"/>
      <c r="N21" s="170">
        <v>221370.45023699998</v>
      </c>
      <c r="O21" s="170">
        <v>225464.95337810766</v>
      </c>
      <c r="P21" s="170">
        <f t="shared" si="3"/>
        <v>4094.5031411076779</v>
      </c>
      <c r="Q21" s="170"/>
      <c r="R21" s="170">
        <v>240086.73449199999</v>
      </c>
      <c r="S21" s="170">
        <v>242445.65655016515</v>
      </c>
      <c r="T21" s="170">
        <f t="shared" si="4"/>
        <v>2358.9220581651607</v>
      </c>
    </row>
    <row r="22" spans="1:20">
      <c r="A22" s="22">
        <f t="shared" si="0"/>
        <v>13</v>
      </c>
      <c r="B22" s="29">
        <v>44501</v>
      </c>
      <c r="C22" s="175">
        <f t="shared" ref="C22:D22" si="15">J72*1000</f>
        <v>1678621923.5929999</v>
      </c>
      <c r="D22" s="176">
        <f t="shared" si="15"/>
        <v>1725439436.0736265</v>
      </c>
      <c r="E22" s="169">
        <f t="shared" si="6"/>
        <v>46817512.480626583</v>
      </c>
      <c r="F22" s="91"/>
      <c r="H22" s="149">
        <f t="shared" si="1"/>
        <v>44531</v>
      </c>
      <c r="I22" s="99"/>
      <c r="J22" s="171">
        <v>1173161.196306</v>
      </c>
      <c r="K22" s="171">
        <v>1089898.1903454831</v>
      </c>
      <c r="L22" s="171">
        <f t="shared" si="2"/>
        <v>-83263.005960516864</v>
      </c>
      <c r="M22" s="170"/>
      <c r="N22" s="171">
        <v>250391.64733099996</v>
      </c>
      <c r="O22" s="171">
        <v>240063.70896687233</v>
      </c>
      <c r="P22" s="171">
        <f t="shared" si="3"/>
        <v>-10327.938364127622</v>
      </c>
      <c r="Q22" s="170"/>
      <c r="R22" s="171">
        <v>253515.951416</v>
      </c>
      <c r="S22" s="171">
        <v>246668.78396989295</v>
      </c>
      <c r="T22" s="171">
        <f t="shared" si="4"/>
        <v>-6847.1674461070506</v>
      </c>
    </row>
    <row r="23" spans="1:20">
      <c r="A23" s="22">
        <f t="shared" si="0"/>
        <v>14</v>
      </c>
      <c r="B23" s="29">
        <v>44531</v>
      </c>
      <c r="C23" s="175">
        <f t="shared" ref="C23:D23" si="16">J73*1000</f>
        <v>1951507928.1319997</v>
      </c>
      <c r="D23" s="176">
        <f t="shared" si="16"/>
        <v>1847523867.6109414</v>
      </c>
      <c r="E23" s="169">
        <f t="shared" si="6"/>
        <v>-103984060.52105832</v>
      </c>
      <c r="F23" s="91"/>
      <c r="H23" s="148" t="s">
        <v>20</v>
      </c>
      <c r="I23" s="40"/>
      <c r="J23" s="51">
        <f>SUM(J11:J22)</f>
        <v>11343412.642121</v>
      </c>
      <c r="K23" s="51">
        <f t="shared" ref="K23:L23" si="17">SUM(K11:K22)</f>
        <v>11257165.588339683</v>
      </c>
      <c r="L23" s="51">
        <f t="shared" si="17"/>
        <v>-86247.053781314753</v>
      </c>
      <c r="M23" s="51"/>
      <c r="N23" s="51">
        <f>SUM(N11:N22)</f>
        <v>2698869.8606000002</v>
      </c>
      <c r="O23" s="51">
        <f t="shared" ref="O23:P23" si="18">SUM(O11:O22)</f>
        <v>2683476.6266392744</v>
      </c>
      <c r="P23" s="51">
        <f t="shared" si="18"/>
        <v>-15393.233960725338</v>
      </c>
      <c r="Q23" s="51"/>
      <c r="R23" s="51">
        <f>SUM(R11:R22)</f>
        <v>2877813.7460559998</v>
      </c>
      <c r="S23" s="51">
        <f t="shared" ref="S23:T23" si="19">SUM(S11:S22)</f>
        <v>2864718.5927949166</v>
      </c>
      <c r="T23" s="51">
        <f t="shared" si="19"/>
        <v>-13095.153261083615</v>
      </c>
    </row>
    <row r="24" spans="1:20">
      <c r="A24" s="22">
        <f t="shared" si="0"/>
        <v>15</v>
      </c>
      <c r="B24" s="9"/>
      <c r="C24" s="300">
        <f>SUM(C12:C23)</f>
        <v>20121388006.778999</v>
      </c>
      <c r="D24" s="114">
        <f>SUM(D12:D23)</f>
        <v>19997251933.5863</v>
      </c>
      <c r="E24" s="114">
        <f>SUM(E12:E23)</f>
        <v>-124136073.19269991</v>
      </c>
      <c r="F24" s="115"/>
    </row>
    <row r="25" spans="1:20">
      <c r="A25" s="22">
        <f t="shared" si="0"/>
        <v>16</v>
      </c>
      <c r="B25" s="19"/>
      <c r="C25" s="30"/>
      <c r="D25" s="30"/>
      <c r="E25" s="31"/>
      <c r="J25" s="150" t="s">
        <v>100</v>
      </c>
      <c r="K25" s="151"/>
      <c r="L25" s="151"/>
      <c r="N25" s="150" t="s">
        <v>102</v>
      </c>
      <c r="O25" s="151"/>
      <c r="P25" s="151"/>
      <c r="Q25" s="152"/>
      <c r="R25" s="301"/>
      <c r="S25" s="302"/>
      <c r="T25" s="302"/>
    </row>
    <row r="26" spans="1:20">
      <c r="A26" s="22">
        <f t="shared" si="0"/>
        <v>17</v>
      </c>
      <c r="B26" s="178" t="s">
        <v>118</v>
      </c>
      <c r="C26" s="32" t="s">
        <v>1</v>
      </c>
      <c r="D26" s="33"/>
      <c r="E26" s="169">
        <f>'Temp Adj. by Schedule'!N37</f>
        <v>-86247053.781314552</v>
      </c>
      <c r="F26" s="52"/>
      <c r="J26" s="153" t="s">
        <v>115</v>
      </c>
      <c r="K26" s="154"/>
      <c r="L26" s="154"/>
      <c r="N26" s="153" t="s">
        <v>95</v>
      </c>
      <c r="O26" s="154"/>
      <c r="P26" s="154"/>
      <c r="Q26" s="152"/>
      <c r="R26" s="301"/>
      <c r="S26" s="302"/>
      <c r="T26" s="302"/>
    </row>
    <row r="27" spans="1:20">
      <c r="A27" s="22">
        <f t="shared" si="0"/>
        <v>18</v>
      </c>
      <c r="B27" s="181" t="s">
        <v>119</v>
      </c>
      <c r="C27" s="32" t="s">
        <v>2</v>
      </c>
      <c r="D27" s="32"/>
      <c r="E27" s="169">
        <f>'Temp Adj. by Schedule'!N38+'Temp Adj. by Schedule'!N39</f>
        <v>-15393233.960725294</v>
      </c>
      <c r="F27" s="52"/>
      <c r="H27" s="147" t="s">
        <v>53</v>
      </c>
      <c r="I27" s="147"/>
      <c r="J27" s="147" t="s">
        <v>86</v>
      </c>
      <c r="K27" s="147" t="s">
        <v>88</v>
      </c>
      <c r="L27" s="147" t="s">
        <v>89</v>
      </c>
      <c r="N27" s="147" t="s">
        <v>86</v>
      </c>
      <c r="O27" s="147" t="s">
        <v>88</v>
      </c>
      <c r="P27" s="147" t="s">
        <v>89</v>
      </c>
      <c r="Q27" s="9"/>
      <c r="R27" s="303"/>
      <c r="S27" s="303"/>
      <c r="T27" s="303"/>
    </row>
    <row r="28" spans="1:20">
      <c r="A28" s="22">
        <f t="shared" si="0"/>
        <v>19</v>
      </c>
      <c r="B28" s="32"/>
      <c r="C28" s="34" t="s">
        <v>3</v>
      </c>
      <c r="D28" s="35"/>
      <c r="E28" s="169">
        <f>'Temp Adj. by Schedule'!N40+'Temp Adj. by Schedule'!N41</f>
        <v>-13095153.26108359</v>
      </c>
      <c r="F28" s="52"/>
      <c r="H28" s="148">
        <f t="shared" ref="H28:H39" si="20">H11</f>
        <v>44197</v>
      </c>
      <c r="I28" s="40"/>
      <c r="J28" s="170">
        <f t="array" ref="J28:J39">TRANSPOSE('Actual Total Usage'!B21:M21)/1000</f>
        <v>135859.120119</v>
      </c>
      <c r="K28" s="170">
        <f t="array" ref="K28:K39">TRANSPOSE('Normalized TotalUsage'!B21:M21)/1000</f>
        <v>136413.23577931934</v>
      </c>
      <c r="L28" s="170">
        <f>K28-J28</f>
        <v>554.11566031933762</v>
      </c>
      <c r="M28" s="170"/>
      <c r="N28" s="170">
        <f t="array" ref="N28:N39">TRANSPOSE('Actual Total Usage'!B25:M25)/1000</f>
        <v>88982.605268000014</v>
      </c>
      <c r="O28" s="170">
        <f t="array" ref="O28:O39">TRANSPOSE('Normalized TotalUsage'!B25:M25)/1000</f>
        <v>89442.940492996844</v>
      </c>
      <c r="P28" s="170">
        <f>O28-N28</f>
        <v>460.33522499683022</v>
      </c>
      <c r="Q28" s="170"/>
      <c r="R28" s="304"/>
      <c r="S28" s="304"/>
      <c r="T28" s="304"/>
    </row>
    <row r="29" spans="1:20">
      <c r="A29" s="22">
        <f t="shared" si="0"/>
        <v>20</v>
      </c>
      <c r="B29" s="36"/>
      <c r="C29" s="32" t="s">
        <v>4</v>
      </c>
      <c r="D29" s="34"/>
      <c r="E29" s="169">
        <f>'Temp Adj. by Schedule'!N42+'Temp Adj. by Schedule'!N43</f>
        <v>-6325356.6896139039</v>
      </c>
      <c r="F29" s="52"/>
      <c r="H29" s="148">
        <f t="shared" si="20"/>
        <v>44228</v>
      </c>
      <c r="I29" s="40"/>
      <c r="J29" s="170">
        <v>144335.47166800001</v>
      </c>
      <c r="K29" s="170">
        <v>143800.5468726258</v>
      </c>
      <c r="L29" s="170">
        <f t="shared" ref="L29:L39" si="21">K29-J29</f>
        <v>-534.92479537421605</v>
      </c>
      <c r="M29" s="170"/>
      <c r="N29" s="170">
        <v>107616.61803299999</v>
      </c>
      <c r="O29" s="170">
        <v>107174.87124295303</v>
      </c>
      <c r="P29" s="170">
        <f t="shared" ref="P29:P39" si="22">O29-N29</f>
        <v>-441.74679004696372</v>
      </c>
      <c r="Q29" s="170"/>
      <c r="R29" s="304"/>
      <c r="S29" s="304"/>
      <c r="T29" s="304"/>
    </row>
    <row r="30" spans="1:20">
      <c r="A30" s="22">
        <f t="shared" si="0"/>
        <v>21</v>
      </c>
      <c r="B30" s="32"/>
      <c r="C30" s="34" t="s">
        <v>5</v>
      </c>
      <c r="D30" s="32"/>
      <c r="E30" s="169">
        <f>'Temp Adj. by Schedule'!N46</f>
        <v>0</v>
      </c>
      <c r="F30" s="52"/>
      <c r="H30" s="148">
        <f t="shared" si="20"/>
        <v>44256</v>
      </c>
      <c r="I30" s="40"/>
      <c r="J30" s="170">
        <v>149791.62067499998</v>
      </c>
      <c r="K30" s="170">
        <v>149595.84233975189</v>
      </c>
      <c r="L30" s="170">
        <f t="shared" si="21"/>
        <v>-195.77833524809103</v>
      </c>
      <c r="M30" s="170"/>
      <c r="N30" s="170">
        <v>112830.12436500001</v>
      </c>
      <c r="O30" s="170">
        <v>112667.85127194597</v>
      </c>
      <c r="P30" s="170">
        <f t="shared" si="22"/>
        <v>-162.27309305404196</v>
      </c>
      <c r="Q30" s="170"/>
      <c r="R30" s="304"/>
      <c r="S30" s="304"/>
      <c r="T30" s="304"/>
    </row>
    <row r="31" spans="1:20">
      <c r="A31" s="22">
        <f t="shared" si="0"/>
        <v>22</v>
      </c>
      <c r="B31" s="32"/>
      <c r="C31" s="34" t="s">
        <v>6</v>
      </c>
      <c r="D31" s="32"/>
      <c r="E31" s="169">
        <f>'Temp Adj. by Schedule'!N44+'Temp Adj. by Schedule'!N45</f>
        <v>-2447933.5613421714</v>
      </c>
      <c r="F31" s="52"/>
      <c r="H31" s="148">
        <f t="shared" si="20"/>
        <v>44287</v>
      </c>
      <c r="I31" s="40"/>
      <c r="J31" s="170">
        <v>141123.45906699999</v>
      </c>
      <c r="K31" s="170">
        <v>141564.82143460866</v>
      </c>
      <c r="L31" s="170">
        <f t="shared" si="21"/>
        <v>441.36236760867178</v>
      </c>
      <c r="M31" s="170"/>
      <c r="N31" s="170">
        <v>111180.045313</v>
      </c>
      <c r="O31" s="170">
        <v>111557.98640816692</v>
      </c>
      <c r="P31" s="170">
        <f t="shared" si="22"/>
        <v>377.94109516692697</v>
      </c>
      <c r="Q31" s="170"/>
      <c r="R31" s="304"/>
      <c r="S31" s="304"/>
      <c r="T31" s="304"/>
    </row>
    <row r="32" spans="1:20">
      <c r="A32" s="22">
        <f t="shared" si="0"/>
        <v>23</v>
      </c>
      <c r="B32" s="32"/>
      <c r="C32" s="32" t="s">
        <v>8</v>
      </c>
      <c r="D32" s="32"/>
      <c r="E32" s="169">
        <f>'Temp Adj. by Schedule'!N47</f>
        <v>-622835.0512850089</v>
      </c>
      <c r="F32" s="52"/>
      <c r="H32" s="148">
        <f t="shared" si="20"/>
        <v>44317</v>
      </c>
      <c r="I32" s="40"/>
      <c r="J32" s="170">
        <v>130019.67922799998</v>
      </c>
      <c r="K32" s="170">
        <v>130548.67483720294</v>
      </c>
      <c r="L32" s="170">
        <f t="shared" si="21"/>
        <v>528.99560920296062</v>
      </c>
      <c r="M32" s="170"/>
      <c r="N32" s="170">
        <v>100589.392819</v>
      </c>
      <c r="O32" s="170">
        <v>100828.80456089185</v>
      </c>
      <c r="P32" s="170">
        <f t="shared" si="22"/>
        <v>239.41174189184676</v>
      </c>
      <c r="Q32" s="170"/>
      <c r="R32" s="304"/>
      <c r="S32" s="304"/>
      <c r="T32" s="304"/>
    </row>
    <row r="33" spans="1:20">
      <c r="A33" s="22">
        <f t="shared" si="0"/>
        <v>24</v>
      </c>
      <c r="B33" s="32"/>
      <c r="C33" s="179" t="s">
        <v>9</v>
      </c>
      <c r="D33" s="179"/>
      <c r="E33" s="180">
        <f>'Temp Adj. by Schedule'!N48</f>
        <v>-4506.8873355445867</v>
      </c>
      <c r="F33" s="52"/>
      <c r="H33" s="148">
        <f t="shared" si="20"/>
        <v>44348</v>
      </c>
      <c r="I33" s="40"/>
      <c r="J33" s="170">
        <v>154609.40195499998</v>
      </c>
      <c r="K33" s="170">
        <v>149797.25780872416</v>
      </c>
      <c r="L33" s="170">
        <f t="shared" si="21"/>
        <v>-4812.144146275823</v>
      </c>
      <c r="M33" s="170"/>
      <c r="N33" s="170">
        <v>122731.37658500001</v>
      </c>
      <c r="O33" s="170">
        <v>120958.89290678652</v>
      </c>
      <c r="P33" s="170">
        <f t="shared" si="22"/>
        <v>-1772.4836782134807</v>
      </c>
      <c r="Q33" s="170"/>
      <c r="R33" s="304"/>
      <c r="S33" s="304"/>
      <c r="T33" s="304"/>
    </row>
    <row r="34" spans="1:20">
      <c r="A34" s="22">
        <f t="shared" si="0"/>
        <v>25</v>
      </c>
      <c r="B34" s="32"/>
      <c r="C34" s="178" t="s">
        <v>20</v>
      </c>
      <c r="D34" s="32"/>
      <c r="E34" s="169">
        <f>SUM(E26:E33)</f>
        <v>-124136073.19270006</v>
      </c>
      <c r="F34" s="52"/>
      <c r="H34" s="148">
        <f t="shared" si="20"/>
        <v>44378</v>
      </c>
      <c r="I34" s="40"/>
      <c r="J34" s="170">
        <v>156146.37329299998</v>
      </c>
      <c r="K34" s="170">
        <v>155026.7086218273</v>
      </c>
      <c r="L34" s="170">
        <f t="shared" si="21"/>
        <v>-1119.6646711726789</v>
      </c>
      <c r="M34" s="170"/>
      <c r="N34" s="170">
        <v>113583.28537700001</v>
      </c>
      <c r="O34" s="170">
        <v>113170.55975659956</v>
      </c>
      <c r="P34" s="170">
        <f t="shared" si="22"/>
        <v>-412.72562040045159</v>
      </c>
      <c r="Q34" s="170"/>
      <c r="R34" s="304"/>
      <c r="S34" s="304"/>
      <c r="T34" s="304"/>
    </row>
    <row r="35" spans="1:20">
      <c r="A35" s="22"/>
      <c r="B35" s="9"/>
      <c r="C35" s="9"/>
      <c r="D35" s="9"/>
      <c r="E35" s="9"/>
      <c r="F35" s="205"/>
      <c r="H35" s="148">
        <f t="shared" si="20"/>
        <v>44409</v>
      </c>
      <c r="I35" s="40"/>
      <c r="J35" s="170">
        <v>159403.07002300001</v>
      </c>
      <c r="K35" s="170">
        <v>158696.14146724873</v>
      </c>
      <c r="L35" s="170">
        <f t="shared" si="21"/>
        <v>-706.9285557512776</v>
      </c>
      <c r="M35" s="170"/>
      <c r="N35" s="170">
        <v>106658.625095</v>
      </c>
      <c r="O35" s="170">
        <v>106398.86710349757</v>
      </c>
      <c r="P35" s="170">
        <f t="shared" si="22"/>
        <v>-259.75799150242528</v>
      </c>
      <c r="Q35" s="170"/>
      <c r="R35" s="304"/>
      <c r="S35" s="304"/>
      <c r="T35" s="304"/>
    </row>
    <row r="36" spans="1:20">
      <c r="A36" s="46"/>
      <c r="B36" s="47"/>
      <c r="C36" s="299"/>
      <c r="D36" s="299"/>
      <c r="E36" s="299"/>
      <c r="H36" s="148">
        <f t="shared" si="20"/>
        <v>44440</v>
      </c>
      <c r="I36" s="40"/>
      <c r="J36" s="170">
        <v>154639.29805899999</v>
      </c>
      <c r="K36" s="170">
        <v>154801.8153309043</v>
      </c>
      <c r="L36" s="170">
        <f t="shared" si="21"/>
        <v>162.51727190430393</v>
      </c>
      <c r="M36" s="170"/>
      <c r="N36" s="170">
        <v>107949.12656600001</v>
      </c>
      <c r="O36" s="170">
        <v>108008.69898364565</v>
      </c>
      <c r="P36" s="170">
        <f t="shared" si="22"/>
        <v>59.572417645642417</v>
      </c>
      <c r="Q36" s="170"/>
      <c r="R36" s="304"/>
      <c r="S36" s="304"/>
      <c r="T36" s="304"/>
    </row>
    <row r="37" spans="1:20">
      <c r="A37" s="173"/>
      <c r="B37" s="47"/>
      <c r="C37" s="47"/>
      <c r="D37" s="47"/>
      <c r="E37" s="48"/>
      <c r="H37" s="148">
        <f t="shared" si="20"/>
        <v>44470</v>
      </c>
      <c r="I37" s="40"/>
      <c r="J37" s="170">
        <v>140435.54980500002</v>
      </c>
      <c r="K37" s="170">
        <v>140302.98567134957</v>
      </c>
      <c r="L37" s="170">
        <f t="shared" si="21"/>
        <v>-132.56413365044864</v>
      </c>
      <c r="M37" s="170"/>
      <c r="N37" s="170">
        <v>111248.88408599999</v>
      </c>
      <c r="O37" s="170">
        <v>111134.64609363909</v>
      </c>
      <c r="P37" s="170">
        <f t="shared" si="22"/>
        <v>-114.2379923608969</v>
      </c>
      <c r="Q37" s="170"/>
      <c r="R37" s="304"/>
      <c r="S37" s="304"/>
      <c r="T37" s="304"/>
    </row>
    <row r="38" spans="1:20">
      <c r="A38" s="173"/>
      <c r="B38" s="47"/>
      <c r="C38" s="47"/>
      <c r="D38" s="47"/>
      <c r="E38" s="48"/>
      <c r="H38" s="148">
        <f t="shared" si="20"/>
        <v>44501</v>
      </c>
      <c r="I38" s="40"/>
      <c r="J38" s="170">
        <v>150982.647413</v>
      </c>
      <c r="K38" s="170">
        <v>151560.18572561574</v>
      </c>
      <c r="L38" s="170">
        <f t="shared" si="21"/>
        <v>577.53831261573941</v>
      </c>
      <c r="M38" s="170"/>
      <c r="N38" s="170">
        <v>113552.426211</v>
      </c>
      <c r="O38" s="170">
        <v>114031.93753664264</v>
      </c>
      <c r="P38" s="170">
        <f t="shared" si="22"/>
        <v>479.51132564264117</v>
      </c>
      <c r="Q38" s="170"/>
      <c r="R38" s="304"/>
      <c r="S38" s="304"/>
      <c r="T38" s="304"/>
    </row>
    <row r="39" spans="1:20">
      <c r="A39" s="46"/>
      <c r="B39" s="47"/>
      <c r="C39" s="47"/>
      <c r="D39" s="47"/>
      <c r="E39" s="48"/>
      <c r="H39" s="149">
        <f t="shared" si="20"/>
        <v>44531</v>
      </c>
      <c r="I39" s="99"/>
      <c r="J39" s="171">
        <v>153815.05273</v>
      </c>
      <c r="K39" s="171">
        <v>152727.17145620755</v>
      </c>
      <c r="L39" s="171">
        <f t="shared" si="21"/>
        <v>-1087.8812737924454</v>
      </c>
      <c r="M39" s="170"/>
      <c r="N39" s="171">
        <v>109013.72867899999</v>
      </c>
      <c r="O39" s="171">
        <v>108112.24847789221</v>
      </c>
      <c r="P39" s="171">
        <f t="shared" si="22"/>
        <v>-901.48020110778452</v>
      </c>
      <c r="Q39" s="170"/>
      <c r="R39" s="304"/>
      <c r="S39" s="304"/>
      <c r="T39" s="304"/>
    </row>
    <row r="40" spans="1:20">
      <c r="A40" s="174"/>
      <c r="B40" s="47"/>
      <c r="C40" s="47"/>
      <c r="D40" s="47"/>
      <c r="E40" s="48"/>
      <c r="H40" s="148" t="s">
        <v>20</v>
      </c>
      <c r="I40" s="40"/>
      <c r="J40" s="51">
        <f>SUM(J28:J39)</f>
        <v>1771160.744035</v>
      </c>
      <c r="K40" s="51">
        <f t="shared" ref="K40:L40" si="23">SUM(K28:K39)</f>
        <v>1764835.387345386</v>
      </c>
      <c r="L40" s="51">
        <f t="shared" si="23"/>
        <v>-6325.3566896139673</v>
      </c>
      <c r="N40" s="51">
        <f>SUM(N28:N39)</f>
        <v>1305936.2383969999</v>
      </c>
      <c r="O40" s="51">
        <f t="shared" ref="O40:P40" si="24">SUM(O28:O39)</f>
        <v>1303488.3048356581</v>
      </c>
      <c r="P40" s="51">
        <f t="shared" si="24"/>
        <v>-2447.9335613421572</v>
      </c>
      <c r="Q40" s="51"/>
      <c r="R40" s="305"/>
      <c r="S40" s="305"/>
      <c r="T40" s="305"/>
    </row>
    <row r="41" spans="1:20">
      <c r="A41" s="46"/>
      <c r="B41" s="47"/>
      <c r="C41" s="47"/>
      <c r="D41" s="47"/>
      <c r="E41" s="49"/>
    </row>
    <row r="42" spans="1:20">
      <c r="A42" s="46"/>
      <c r="B42" s="47"/>
      <c r="C42" s="47"/>
      <c r="D42" s="47"/>
      <c r="E42" s="49"/>
      <c r="I42" s="152"/>
      <c r="J42" s="150" t="s">
        <v>96</v>
      </c>
      <c r="K42" s="151"/>
      <c r="L42" s="151"/>
      <c r="M42" s="152"/>
      <c r="N42" s="150" t="s">
        <v>26</v>
      </c>
      <c r="O42" s="151"/>
      <c r="P42" s="151"/>
      <c r="Q42" s="152"/>
    </row>
    <row r="43" spans="1:20">
      <c r="A43" s="46"/>
      <c r="B43" s="47"/>
      <c r="C43" s="47"/>
      <c r="D43" s="47"/>
      <c r="E43" s="49"/>
      <c r="F43" s="37"/>
      <c r="I43" s="152"/>
      <c r="J43" s="153" t="s">
        <v>97</v>
      </c>
      <c r="K43" s="154"/>
      <c r="L43" s="154"/>
      <c r="M43" s="152"/>
      <c r="N43" s="153" t="s">
        <v>99</v>
      </c>
      <c r="O43" s="154"/>
      <c r="P43" s="154"/>
      <c r="Q43" s="51"/>
    </row>
    <row r="44" spans="1:20">
      <c r="A44" s="46"/>
      <c r="B44" s="47"/>
      <c r="C44" s="47"/>
      <c r="D44" s="47"/>
      <c r="E44" s="49"/>
      <c r="F44" s="37"/>
      <c r="H44" s="147" t="s">
        <v>53</v>
      </c>
      <c r="I44" s="9"/>
      <c r="J44" s="147" t="s">
        <v>86</v>
      </c>
      <c r="K44" s="147" t="s">
        <v>88</v>
      </c>
      <c r="L44" s="147" t="s">
        <v>89</v>
      </c>
      <c r="M44" s="9"/>
      <c r="N44" s="147" t="s">
        <v>86</v>
      </c>
      <c r="O44" s="147" t="s">
        <v>88</v>
      </c>
      <c r="P44" s="147" t="s">
        <v>89</v>
      </c>
      <c r="Q44" s="9"/>
    </row>
    <row r="45" spans="1:20">
      <c r="A45" s="46"/>
      <c r="B45" s="47"/>
      <c r="C45" s="47"/>
      <c r="D45" s="47"/>
      <c r="E45" s="50"/>
      <c r="H45" s="148">
        <f t="shared" ref="H45:H56" si="25">H28</f>
        <v>44197</v>
      </c>
      <c r="I45" s="51"/>
      <c r="J45" s="170">
        <f t="array" ref="J45:J56">TRANSPOSE('Actual Total Usage'!B27:M27)/1000</f>
        <v>10413.393275</v>
      </c>
      <c r="K45" s="170">
        <f t="array" ref="K45:K56">TRANSPOSE('Normalized TotalUsage'!B27:M27)/1000</f>
        <v>11312.664207079497</v>
      </c>
      <c r="L45" s="170">
        <f>K45-J45</f>
        <v>899.27093207949656</v>
      </c>
      <c r="M45" s="170"/>
      <c r="N45" s="170">
        <f t="array" ref="N45:N56">TRANSPOSE('Actual Total Usage'!B28:M28)/1000</f>
        <v>916.06</v>
      </c>
      <c r="O45" s="170">
        <f t="array" ref="O45:O56">TRANSPOSE('Normalized TotalUsage'!B28:M28)/1000</f>
        <v>935.35357505833326</v>
      </c>
      <c r="P45" s="170">
        <f>O45-N45</f>
        <v>19.293575058333317</v>
      </c>
      <c r="Q45" s="51"/>
    </row>
    <row r="46" spans="1:20">
      <c r="A46" s="46"/>
      <c r="B46" s="47"/>
      <c r="C46" s="47"/>
      <c r="D46" s="47"/>
      <c r="E46" s="49"/>
      <c r="H46" s="148">
        <f t="shared" si="25"/>
        <v>44228</v>
      </c>
      <c r="I46" s="51"/>
      <c r="J46" s="170">
        <v>11189.689205000001</v>
      </c>
      <c r="K46" s="170">
        <v>10554.413111151502</v>
      </c>
      <c r="L46" s="170">
        <f t="shared" ref="L46:L56" si="26">K46-J46</f>
        <v>-635.27609384849893</v>
      </c>
      <c r="M46" s="170"/>
      <c r="N46" s="170">
        <v>940.4</v>
      </c>
      <c r="O46" s="170">
        <v>922.54920457717787</v>
      </c>
      <c r="P46" s="170">
        <f t="shared" ref="P46:P56" si="27">O46-N46</f>
        <v>-17.850795422822102</v>
      </c>
      <c r="Q46" s="51"/>
    </row>
    <row r="47" spans="1:20">
      <c r="A47" s="38"/>
      <c r="B47" s="19"/>
      <c r="C47" s="19"/>
      <c r="D47" s="19"/>
      <c r="E47" s="19"/>
      <c r="H47" s="148">
        <f t="shared" si="25"/>
        <v>44256</v>
      </c>
      <c r="I47" s="51"/>
      <c r="J47" s="170">
        <v>14287.041405</v>
      </c>
      <c r="K47" s="170">
        <v>14326.666881074749</v>
      </c>
      <c r="L47" s="170">
        <f t="shared" si="26"/>
        <v>39.625476074748804</v>
      </c>
      <c r="M47" s="170"/>
      <c r="N47" s="170">
        <v>950.88</v>
      </c>
      <c r="O47" s="170">
        <v>944.62585241574448</v>
      </c>
      <c r="P47" s="170">
        <f t="shared" si="27"/>
        <v>-6.2541475842555201</v>
      </c>
      <c r="Q47" s="51"/>
    </row>
    <row r="48" spans="1:20">
      <c r="A48" s="38"/>
      <c r="B48" s="19"/>
      <c r="C48" s="19"/>
      <c r="D48" s="19"/>
      <c r="E48" s="19"/>
      <c r="H48" s="148">
        <f t="shared" si="25"/>
        <v>44287</v>
      </c>
      <c r="I48" s="51"/>
      <c r="J48" s="170">
        <v>13109.198175000001</v>
      </c>
      <c r="K48" s="170">
        <v>13672.672498805501</v>
      </c>
      <c r="L48" s="170">
        <f t="shared" si="26"/>
        <v>563.47432380549981</v>
      </c>
      <c r="M48" s="170"/>
      <c r="N48" s="170">
        <v>824.06</v>
      </c>
      <c r="O48" s="170">
        <v>849.88400258633328</v>
      </c>
      <c r="P48" s="170">
        <f t="shared" si="27"/>
        <v>25.824002586333336</v>
      </c>
      <c r="Q48" s="51"/>
    </row>
    <row r="49" spans="1:17">
      <c r="A49" s="38"/>
      <c r="B49" s="19"/>
      <c r="C49" s="19"/>
      <c r="D49" s="19"/>
      <c r="E49" s="19"/>
      <c r="H49" s="148">
        <f t="shared" si="25"/>
        <v>44317</v>
      </c>
      <c r="I49" s="51"/>
      <c r="J49" s="170">
        <v>8996.4578149999998</v>
      </c>
      <c r="K49" s="170">
        <v>9021.9294783897512</v>
      </c>
      <c r="L49" s="170">
        <f t="shared" si="26"/>
        <v>25.471663389751484</v>
      </c>
      <c r="M49" s="170"/>
      <c r="N49" s="170">
        <v>631.62</v>
      </c>
      <c r="O49" s="170">
        <v>631.25768762824453</v>
      </c>
      <c r="P49" s="170">
        <f t="shared" si="27"/>
        <v>-0.36231237175547903</v>
      </c>
      <c r="Q49" s="51"/>
    </row>
    <row r="50" spans="1:17">
      <c r="A50" s="38"/>
      <c r="B50" s="19"/>
      <c r="C50" s="19"/>
      <c r="D50" s="19"/>
      <c r="E50" s="19"/>
      <c r="H50" s="148">
        <f t="shared" si="25"/>
        <v>44348</v>
      </c>
      <c r="I50" s="51"/>
      <c r="J50" s="170">
        <v>9664.4670700000006</v>
      </c>
      <c r="K50" s="170">
        <v>9328.0959295887496</v>
      </c>
      <c r="L50" s="170">
        <f t="shared" si="26"/>
        <v>-336.37114041125096</v>
      </c>
      <c r="M50" s="170"/>
      <c r="N50" s="170">
        <v>438.86</v>
      </c>
      <c r="O50" s="170">
        <v>438.86</v>
      </c>
      <c r="P50" s="170">
        <f t="shared" si="27"/>
        <v>0</v>
      </c>
      <c r="Q50" s="51"/>
    </row>
    <row r="51" spans="1:17">
      <c r="A51" s="38"/>
      <c r="B51" s="19"/>
      <c r="C51" s="19"/>
      <c r="D51" s="19"/>
      <c r="E51" s="19"/>
      <c r="H51" s="148">
        <f t="shared" si="25"/>
        <v>44378</v>
      </c>
      <c r="I51" s="51"/>
      <c r="J51" s="170">
        <v>8394.9543350000004</v>
      </c>
      <c r="K51" s="170">
        <v>8316.7838790280002</v>
      </c>
      <c r="L51" s="170">
        <f t="shared" si="26"/>
        <v>-78.170455972000127</v>
      </c>
      <c r="M51" s="170"/>
      <c r="N51" s="170">
        <v>332.66</v>
      </c>
      <c r="O51" s="170">
        <v>332.66</v>
      </c>
      <c r="P51" s="170">
        <f t="shared" si="27"/>
        <v>0</v>
      </c>
      <c r="Q51" s="51"/>
    </row>
    <row r="52" spans="1:17">
      <c r="H52" s="148">
        <f t="shared" si="25"/>
        <v>44409</v>
      </c>
      <c r="I52" s="51"/>
      <c r="J52" s="170">
        <v>5347.4801749999997</v>
      </c>
      <c r="K52" s="170">
        <v>5298.1848878802493</v>
      </c>
      <c r="L52" s="170">
        <f t="shared" si="26"/>
        <v>-49.295287119750355</v>
      </c>
      <c r="M52" s="170"/>
      <c r="N52" s="170">
        <v>284.42</v>
      </c>
      <c r="O52" s="170">
        <v>284.42</v>
      </c>
      <c r="P52" s="170">
        <f t="shared" si="27"/>
        <v>0</v>
      </c>
      <c r="Q52" s="51"/>
    </row>
    <row r="53" spans="1:17">
      <c r="H53" s="148">
        <f t="shared" si="25"/>
        <v>44440</v>
      </c>
      <c r="I53" s="51"/>
      <c r="J53" s="170">
        <v>6682.9226550000003</v>
      </c>
      <c r="K53" s="170">
        <v>6694.2279450327505</v>
      </c>
      <c r="L53" s="170">
        <f t="shared" si="26"/>
        <v>11.305290032750236</v>
      </c>
      <c r="M53" s="170"/>
      <c r="N53" s="170">
        <v>285.04000000000002</v>
      </c>
      <c r="O53" s="170">
        <v>285.04000000000002</v>
      </c>
      <c r="P53" s="170">
        <f t="shared" si="27"/>
        <v>0</v>
      </c>
      <c r="Q53" s="51"/>
    </row>
    <row r="54" spans="1:17">
      <c r="H54" s="148">
        <f t="shared" si="25"/>
        <v>44470</v>
      </c>
      <c r="I54" s="51"/>
      <c r="J54" s="170">
        <v>6979.3155449999995</v>
      </c>
      <c r="K54" s="170">
        <v>6835.7707269535031</v>
      </c>
      <c r="L54" s="170">
        <f t="shared" si="26"/>
        <v>-143.5448180464964</v>
      </c>
      <c r="M54" s="170"/>
      <c r="N54" s="170">
        <v>330.84</v>
      </c>
      <c r="O54" s="170">
        <v>323.08659769468898</v>
      </c>
      <c r="P54" s="170">
        <f t="shared" si="27"/>
        <v>-7.7534023053109991</v>
      </c>
      <c r="Q54" s="51"/>
    </row>
    <row r="55" spans="1:17">
      <c r="H55" s="148">
        <f t="shared" si="25"/>
        <v>44501</v>
      </c>
      <c r="I55" s="51"/>
      <c r="J55" s="170">
        <v>11052.604244999999</v>
      </c>
      <c r="K55" s="170">
        <v>11653.125706761994</v>
      </c>
      <c r="L55" s="170">
        <f t="shared" si="26"/>
        <v>600.52146176199494</v>
      </c>
      <c r="M55" s="170"/>
      <c r="N55" s="170">
        <v>532.05999999999995</v>
      </c>
      <c r="O55" s="170">
        <v>551.39706507937751</v>
      </c>
      <c r="P55" s="170">
        <f t="shared" si="27"/>
        <v>19.337065079377567</v>
      </c>
      <c r="Q55" s="51"/>
    </row>
    <row r="56" spans="1:17">
      <c r="H56" s="149">
        <f t="shared" si="25"/>
        <v>44531</v>
      </c>
      <c r="I56" s="51"/>
      <c r="J56" s="171">
        <v>10887.231669999999</v>
      </c>
      <c r="K56" s="171">
        <v>9367.385266968744</v>
      </c>
      <c r="L56" s="171">
        <f t="shared" si="26"/>
        <v>-1519.8464030312552</v>
      </c>
      <c r="M56" s="170"/>
      <c r="N56" s="171">
        <v>723.12</v>
      </c>
      <c r="O56" s="171">
        <v>686.37912762455551</v>
      </c>
      <c r="P56" s="171">
        <f t="shared" si="27"/>
        <v>-36.740872375444496</v>
      </c>
      <c r="Q56" s="51"/>
    </row>
    <row r="57" spans="1:17">
      <c r="H57" s="148" t="s">
        <v>20</v>
      </c>
      <c r="I57" s="51"/>
      <c r="J57" s="51">
        <f>SUM(J45:J56)</f>
        <v>117004.75557000001</v>
      </c>
      <c r="K57" s="51">
        <f t="shared" ref="K57:L57" si="28">SUM(K45:K56)</f>
        <v>116381.92051871499</v>
      </c>
      <c r="L57" s="51">
        <f t="shared" si="28"/>
        <v>-622.83505128501019</v>
      </c>
      <c r="M57" s="51"/>
      <c r="N57" s="51">
        <f>SUM(N45:N56)</f>
        <v>7190.0199999999995</v>
      </c>
      <c r="O57" s="51">
        <f t="shared" ref="O57:P57" si="29">SUM(O45:O56)</f>
        <v>7185.5131126644546</v>
      </c>
      <c r="P57" s="51">
        <f t="shared" si="29"/>
        <v>-4.506887335544377</v>
      </c>
      <c r="Q57" s="51"/>
    </row>
    <row r="59" spans="1:17">
      <c r="J59" s="150"/>
      <c r="K59" s="151"/>
      <c r="L59" s="151"/>
    </row>
    <row r="60" spans="1:17">
      <c r="J60" s="153" t="s">
        <v>20</v>
      </c>
      <c r="K60" s="154"/>
      <c r="L60" s="154"/>
    </row>
    <row r="61" spans="1:17">
      <c r="H61" s="147" t="s">
        <v>53</v>
      </c>
      <c r="J61" s="147" t="s">
        <v>86</v>
      </c>
      <c r="K61" s="147" t="s">
        <v>88</v>
      </c>
      <c r="L61" s="147" t="s">
        <v>89</v>
      </c>
    </row>
    <row r="62" spans="1:17">
      <c r="H62" s="148">
        <f t="shared" ref="H62:H73" si="30">H45</f>
        <v>44197</v>
      </c>
      <c r="J62" s="170">
        <f t="shared" ref="J62:J73" si="31">J11+N11+R11+J28+N28+R28+J45+N45</f>
        <v>1915563.3980620001</v>
      </c>
      <c r="K62" s="170">
        <f t="shared" ref="K62:K73" si="32">K11+O11+S11+K28+O28+S28+K45+O45</f>
        <v>1973231.2465583563</v>
      </c>
      <c r="L62" s="170">
        <f t="shared" ref="L62:L73" si="33">L11+P11+T11+L28+P28+T28+L45+P45</f>
        <v>57667.848496356259</v>
      </c>
    </row>
    <row r="63" spans="1:17">
      <c r="H63" s="148">
        <f t="shared" si="30"/>
        <v>44228</v>
      </c>
      <c r="J63" s="170">
        <f t="shared" si="31"/>
        <v>1932924.3163439999</v>
      </c>
      <c r="K63" s="170">
        <f t="shared" si="32"/>
        <v>1886985.2020380951</v>
      </c>
      <c r="L63" s="170">
        <f t="shared" si="33"/>
        <v>-45939.114305904943</v>
      </c>
    </row>
    <row r="64" spans="1:17">
      <c r="H64" s="148">
        <f t="shared" si="30"/>
        <v>44256</v>
      </c>
      <c r="J64" s="170">
        <f t="shared" si="31"/>
        <v>1938339.9072279998</v>
      </c>
      <c r="K64" s="170">
        <f t="shared" si="32"/>
        <v>1932225.1735531115</v>
      </c>
      <c r="L64" s="170">
        <f t="shared" si="33"/>
        <v>-6114.7336748883845</v>
      </c>
    </row>
    <row r="65" spans="8:12">
      <c r="H65" s="148">
        <f t="shared" si="30"/>
        <v>44287</v>
      </c>
      <c r="J65" s="170">
        <f t="shared" si="31"/>
        <v>1758891.4490170002</v>
      </c>
      <c r="K65" s="170">
        <f t="shared" si="32"/>
        <v>1811292.086565682</v>
      </c>
      <c r="L65" s="170">
        <f t="shared" si="33"/>
        <v>52400.637548682185</v>
      </c>
    </row>
    <row r="66" spans="8:12">
      <c r="H66" s="148">
        <f t="shared" si="30"/>
        <v>44317</v>
      </c>
      <c r="J66" s="170">
        <f t="shared" si="31"/>
        <v>1441798.6835949998</v>
      </c>
      <c r="K66" s="170">
        <f t="shared" si="32"/>
        <v>1449070.8029324838</v>
      </c>
      <c r="L66" s="170">
        <f t="shared" si="33"/>
        <v>7272.1193374840404</v>
      </c>
    </row>
    <row r="67" spans="8:12">
      <c r="H67" s="148">
        <f t="shared" si="30"/>
        <v>44348</v>
      </c>
      <c r="J67" s="170">
        <f t="shared" si="31"/>
        <v>1487830.2991550001</v>
      </c>
      <c r="K67" s="170">
        <f t="shared" si="32"/>
        <v>1400573.8326849488</v>
      </c>
      <c r="L67" s="170">
        <f t="shared" si="33"/>
        <v>-87256.466470051324</v>
      </c>
    </row>
    <row r="68" spans="8:12">
      <c r="H68" s="148">
        <f t="shared" si="30"/>
        <v>44378</v>
      </c>
      <c r="J68" s="170">
        <f t="shared" si="31"/>
        <v>1584657.0750160001</v>
      </c>
      <c r="K68" s="170">
        <f t="shared" si="32"/>
        <v>1564366.8307301684</v>
      </c>
      <c r="L68" s="170">
        <f t="shared" si="33"/>
        <v>-20290.244285831584</v>
      </c>
    </row>
    <row r="69" spans="8:12">
      <c r="H69" s="148">
        <f t="shared" si="30"/>
        <v>44409</v>
      </c>
      <c r="J69" s="170">
        <f t="shared" si="31"/>
        <v>1502116.4246949998</v>
      </c>
      <c r="K69" s="170">
        <f t="shared" si="32"/>
        <v>1489304.6014225841</v>
      </c>
      <c r="L69" s="170">
        <f t="shared" si="33"/>
        <v>-12811.823272415773</v>
      </c>
    </row>
    <row r="70" spans="8:12">
      <c r="H70" s="148">
        <f t="shared" si="30"/>
        <v>44440</v>
      </c>
      <c r="J70" s="170">
        <f t="shared" si="31"/>
        <v>1469753.6844739998</v>
      </c>
      <c r="K70" s="170">
        <f t="shared" si="32"/>
        <v>1472695.160094619</v>
      </c>
      <c r="L70" s="170">
        <f t="shared" si="33"/>
        <v>2941.4756206191423</v>
      </c>
    </row>
    <row r="71" spans="8:12">
      <c r="H71" s="148">
        <f t="shared" si="30"/>
        <v>44470</v>
      </c>
      <c r="J71" s="170">
        <f t="shared" si="31"/>
        <v>1459382.917468</v>
      </c>
      <c r="K71" s="170">
        <f t="shared" si="32"/>
        <v>1444543.6933216823</v>
      </c>
      <c r="L71" s="170">
        <f t="shared" si="33"/>
        <v>-14839.224146317867</v>
      </c>
    </row>
    <row r="72" spans="8:12">
      <c r="H72" s="148">
        <f t="shared" si="30"/>
        <v>44501</v>
      </c>
      <c r="J72" s="170">
        <f t="shared" si="31"/>
        <v>1678621.923593</v>
      </c>
      <c r="K72" s="170">
        <f t="shared" si="32"/>
        <v>1725439.4360736266</v>
      </c>
      <c r="L72" s="170">
        <f t="shared" si="33"/>
        <v>46817.512480626334</v>
      </c>
    </row>
    <row r="73" spans="8:12">
      <c r="H73" s="149">
        <f t="shared" si="30"/>
        <v>44531</v>
      </c>
      <c r="J73" s="171">
        <f t="shared" si="31"/>
        <v>1951507.9281319997</v>
      </c>
      <c r="K73" s="171">
        <f t="shared" si="32"/>
        <v>1847523.8676109414</v>
      </c>
      <c r="L73" s="171">
        <f t="shared" si="33"/>
        <v>-103984.06052105848</v>
      </c>
    </row>
    <row r="74" spans="8:12">
      <c r="H74" s="148" t="s">
        <v>20</v>
      </c>
      <c r="J74" s="51">
        <f>SUM(J62:J73)</f>
        <v>20121388.006779</v>
      </c>
      <c r="K74" s="51">
        <f t="shared" ref="K74:L74" si="34">SUM(K62:K73)</f>
        <v>19997251.933586299</v>
      </c>
      <c r="L74" s="51">
        <f t="shared" si="34"/>
        <v>-124136.07319270038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50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>
      <selection activeCell="E26" sqref="E26"/>
    </sheetView>
  </sheetViews>
  <sheetFormatPr defaultColWidth="14.6640625" defaultRowHeight="13.2"/>
  <cols>
    <col min="1" max="1" width="34.33203125" style="15" bestFit="1" customWidth="1"/>
    <col min="2" max="2" width="14.33203125" style="15" bestFit="1" customWidth="1"/>
    <col min="3" max="3" width="15" style="15" bestFit="1" customWidth="1"/>
    <col min="4" max="6" width="14.33203125" style="15" bestFit="1" customWidth="1"/>
    <col min="7" max="7" width="12.33203125" style="15" bestFit="1" customWidth="1"/>
    <col min="8" max="8" width="13.44140625" style="15" bestFit="1" customWidth="1"/>
    <col min="9" max="9" width="14.33203125" style="15" customWidth="1"/>
    <col min="10" max="13" width="15" style="15" customWidth="1"/>
    <col min="14" max="14" width="13.33203125" style="15" customWidth="1"/>
    <col min="15" max="16" width="14.6640625" style="15"/>
    <col min="17" max="17" width="33" style="15" bestFit="1" customWidth="1"/>
    <col min="18" max="16384" width="14.6640625" style="15"/>
  </cols>
  <sheetData>
    <row r="1" spans="1:14">
      <c r="A1" s="208" t="s">
        <v>106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>
      <c r="A2" s="208" t="s">
        <v>12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>
      <c r="A3" s="208" t="s">
        <v>165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>
      <c r="A4" s="210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211" customFormat="1" ht="13.8" thickBot="1">
      <c r="A5" s="8"/>
      <c r="B5" s="8" t="s">
        <v>20</v>
      </c>
      <c r="C5" s="6">
        <v>44197</v>
      </c>
      <c r="D5" s="6">
        <v>44228</v>
      </c>
      <c r="E5" s="6">
        <v>44256</v>
      </c>
      <c r="F5" s="6">
        <v>44287</v>
      </c>
      <c r="G5" s="6">
        <v>44317</v>
      </c>
      <c r="H5" s="6">
        <v>44348</v>
      </c>
      <c r="I5" s="6">
        <v>44378</v>
      </c>
      <c r="J5" s="6">
        <v>44409</v>
      </c>
      <c r="K5" s="6">
        <v>44440</v>
      </c>
      <c r="L5" s="6">
        <v>44470</v>
      </c>
      <c r="M5" s="6">
        <v>44501</v>
      </c>
      <c r="N5" s="6">
        <v>44531</v>
      </c>
    </row>
    <row r="6" spans="1:14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</row>
    <row r="7" spans="1:14">
      <c r="A7" s="218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19"/>
    </row>
    <row r="8" spans="1:14">
      <c r="A8" s="220" t="s">
        <v>1</v>
      </c>
      <c r="B8" s="3">
        <f>SUM(C8:N8)</f>
        <v>-3755022</v>
      </c>
      <c r="C8" s="3">
        <f t="shared" ref="C8:N8" si="0">ROUND(+C21*C33,0)</f>
        <v>1801486</v>
      </c>
      <c r="D8" s="3">
        <f t="shared" si="0"/>
        <v>-1476486</v>
      </c>
      <c r="E8" s="3">
        <f t="shared" si="0"/>
        <v>-262546</v>
      </c>
      <c r="F8" s="3">
        <f t="shared" si="0"/>
        <v>1793505</v>
      </c>
      <c r="G8" s="3">
        <f t="shared" si="0"/>
        <v>185360</v>
      </c>
      <c r="H8" s="3">
        <f t="shared" si="0"/>
        <v>-2356267</v>
      </c>
      <c r="I8" s="3">
        <f t="shared" si="0"/>
        <v>-609514</v>
      </c>
      <c r="J8" s="3">
        <f t="shared" si="0"/>
        <v>-384943</v>
      </c>
      <c r="K8" s="3">
        <f t="shared" si="0"/>
        <v>88385</v>
      </c>
      <c r="L8" s="3">
        <f t="shared" si="0"/>
        <v>-574895</v>
      </c>
      <c r="M8" s="3">
        <f t="shared" si="0"/>
        <v>1700302</v>
      </c>
      <c r="N8" s="221">
        <f t="shared" si="0"/>
        <v>-3659409</v>
      </c>
    </row>
    <row r="9" spans="1:14">
      <c r="A9" s="222" t="s">
        <v>124</v>
      </c>
      <c r="B9" s="3">
        <f t="shared" ref="B9:B15" si="1">SUM(C9:N9)</f>
        <v>-673195</v>
      </c>
      <c r="C9" s="3">
        <f t="shared" ref="C9:N9" si="2">ROUND(+C22*C34,0)</f>
        <v>231343</v>
      </c>
      <c r="D9" s="3">
        <f t="shared" si="2"/>
        <v>-165091</v>
      </c>
      <c r="E9" s="3">
        <f t="shared" si="2"/>
        <v>8041</v>
      </c>
      <c r="F9" s="3">
        <f t="shared" si="2"/>
        <v>149993</v>
      </c>
      <c r="G9" s="3">
        <f t="shared" si="2"/>
        <v>36424</v>
      </c>
      <c r="H9" s="3">
        <f t="shared" si="2"/>
        <v>-427661</v>
      </c>
      <c r="I9" s="3">
        <f t="shared" si="2"/>
        <v>-117898</v>
      </c>
      <c r="J9" s="3">
        <f t="shared" si="2"/>
        <v>-74405</v>
      </c>
      <c r="K9" s="3">
        <f t="shared" si="2"/>
        <v>17072</v>
      </c>
      <c r="L9" s="3">
        <f t="shared" si="2"/>
        <v>-45939</v>
      </c>
      <c r="M9" s="3">
        <f t="shared" si="2"/>
        <v>187254</v>
      </c>
      <c r="N9" s="221">
        <f t="shared" si="2"/>
        <v>-472328</v>
      </c>
    </row>
    <row r="10" spans="1:14">
      <c r="A10" s="222" t="s">
        <v>127</v>
      </c>
      <c r="B10" s="3">
        <f t="shared" si="1"/>
        <v>-555857</v>
      </c>
      <c r="C10" s="3">
        <f t="shared" ref="C10:N10" si="3">ROUND(+C23*C35,0)</f>
        <v>157886</v>
      </c>
      <c r="D10" s="3">
        <f t="shared" si="3"/>
        <v>-101274</v>
      </c>
      <c r="E10" s="3">
        <f t="shared" si="3"/>
        <v>24831</v>
      </c>
      <c r="F10" s="3">
        <f t="shared" si="3"/>
        <v>64825</v>
      </c>
      <c r="G10" s="3">
        <f t="shared" si="3"/>
        <v>32191</v>
      </c>
      <c r="H10" s="3">
        <f t="shared" si="3"/>
        <v>-366998</v>
      </c>
      <c r="I10" s="3">
        <f t="shared" si="3"/>
        <v>-100484</v>
      </c>
      <c r="J10" s="3">
        <f t="shared" si="3"/>
        <v>-63449</v>
      </c>
      <c r="K10" s="3">
        <f t="shared" si="3"/>
        <v>14565</v>
      </c>
      <c r="L10" s="3">
        <f t="shared" si="3"/>
        <v>-16015</v>
      </c>
      <c r="M10" s="3">
        <f t="shared" si="3"/>
        <v>106133</v>
      </c>
      <c r="N10" s="221">
        <f t="shared" si="3"/>
        <v>-308068</v>
      </c>
    </row>
    <row r="11" spans="1:14">
      <c r="A11" s="222" t="s">
        <v>125</v>
      </c>
      <c r="B11" s="3">
        <f t="shared" si="1"/>
        <v>-247241</v>
      </c>
      <c r="C11" s="3">
        <f t="shared" ref="C11:N11" si="4">ROUND(+C24*C36,0)</f>
        <v>20222</v>
      </c>
      <c r="D11" s="3">
        <f t="shared" si="4"/>
        <v>-19522</v>
      </c>
      <c r="E11" s="3">
        <f t="shared" si="4"/>
        <v>-7145</v>
      </c>
      <c r="F11" s="3">
        <f t="shared" si="4"/>
        <v>16107</v>
      </c>
      <c r="G11" s="3">
        <f t="shared" si="4"/>
        <v>19305</v>
      </c>
      <c r="H11" s="3">
        <f t="shared" si="4"/>
        <v>-175614</v>
      </c>
      <c r="I11" s="3">
        <f t="shared" si="4"/>
        <v>-48822</v>
      </c>
      <c r="J11" s="3">
        <f t="shared" si="4"/>
        <v>-30825</v>
      </c>
      <c r="K11" s="3">
        <f t="shared" si="4"/>
        <v>7086</v>
      </c>
      <c r="L11" s="3">
        <f t="shared" si="4"/>
        <v>-5780</v>
      </c>
      <c r="M11" s="3">
        <f t="shared" si="4"/>
        <v>25183</v>
      </c>
      <c r="N11" s="221">
        <f t="shared" si="4"/>
        <v>-47436</v>
      </c>
    </row>
    <row r="12" spans="1:14">
      <c r="A12" s="220" t="s">
        <v>5</v>
      </c>
      <c r="B12" s="3">
        <f t="shared" si="1"/>
        <v>0</v>
      </c>
      <c r="C12" s="3">
        <f t="shared" ref="C12:N12" si="5">ROUND(+C25*C37,0)</f>
        <v>0</v>
      </c>
      <c r="D12" s="3">
        <f t="shared" si="5"/>
        <v>0</v>
      </c>
      <c r="E12" s="3">
        <f t="shared" si="5"/>
        <v>0</v>
      </c>
      <c r="F12" s="3">
        <f t="shared" si="5"/>
        <v>0</v>
      </c>
      <c r="G12" s="3">
        <f t="shared" si="5"/>
        <v>0</v>
      </c>
      <c r="H12" s="3">
        <f t="shared" si="5"/>
        <v>0</v>
      </c>
      <c r="I12" s="3">
        <f t="shared" si="5"/>
        <v>0</v>
      </c>
      <c r="J12" s="3">
        <f t="shared" si="5"/>
        <v>0</v>
      </c>
      <c r="K12" s="3">
        <f t="shared" si="5"/>
        <v>0</v>
      </c>
      <c r="L12" s="3">
        <f t="shared" si="5"/>
        <v>0</v>
      </c>
      <c r="M12" s="3">
        <f t="shared" si="5"/>
        <v>0</v>
      </c>
      <c r="N12" s="221">
        <f t="shared" si="5"/>
        <v>0</v>
      </c>
    </row>
    <row r="13" spans="1:14">
      <c r="A13" s="222" t="s">
        <v>126</v>
      </c>
      <c r="B13" s="3">
        <f t="shared" si="1"/>
        <v>-93793</v>
      </c>
      <c r="C13" s="3">
        <f t="shared" ref="C13:N13" si="6">ROUND(+C26*C38,0)</f>
        <v>16156</v>
      </c>
      <c r="D13" s="3">
        <f t="shared" si="6"/>
        <v>-15504</v>
      </c>
      <c r="E13" s="3">
        <f t="shared" si="6"/>
        <v>-5695</v>
      </c>
      <c r="F13" s="3">
        <f t="shared" si="6"/>
        <v>13265</v>
      </c>
      <c r="G13" s="3">
        <f t="shared" si="6"/>
        <v>8403</v>
      </c>
      <c r="H13" s="3">
        <f t="shared" si="6"/>
        <v>-62209</v>
      </c>
      <c r="I13" s="3">
        <f t="shared" si="6"/>
        <v>-17315</v>
      </c>
      <c r="J13" s="3">
        <f t="shared" si="6"/>
        <v>-10897</v>
      </c>
      <c r="K13" s="3">
        <f t="shared" si="6"/>
        <v>2499</v>
      </c>
      <c r="L13" s="3">
        <f t="shared" si="6"/>
        <v>-4793</v>
      </c>
      <c r="M13" s="3">
        <f t="shared" si="6"/>
        <v>20116</v>
      </c>
      <c r="N13" s="221">
        <f t="shared" si="6"/>
        <v>-37819</v>
      </c>
    </row>
    <row r="14" spans="1:14">
      <c r="A14" s="220" t="s">
        <v>8</v>
      </c>
      <c r="B14" s="3">
        <f t="shared" si="1"/>
        <v>-23739</v>
      </c>
      <c r="C14" s="3">
        <f t="shared" ref="C14:N14" si="7">ROUND(+C27*C39,0)</f>
        <v>24835</v>
      </c>
      <c r="D14" s="3">
        <f t="shared" si="7"/>
        <v>-17544</v>
      </c>
      <c r="E14" s="3">
        <f t="shared" si="7"/>
        <v>1094</v>
      </c>
      <c r="F14" s="3">
        <f t="shared" si="7"/>
        <v>15561</v>
      </c>
      <c r="G14" s="3">
        <f t="shared" si="7"/>
        <v>703</v>
      </c>
      <c r="H14" s="3">
        <f t="shared" si="7"/>
        <v>-9290</v>
      </c>
      <c r="I14" s="3">
        <f t="shared" si="7"/>
        <v>-2592</v>
      </c>
      <c r="J14" s="3">
        <f t="shared" si="7"/>
        <v>-1635</v>
      </c>
      <c r="K14" s="3">
        <f t="shared" si="7"/>
        <v>375</v>
      </c>
      <c r="L14" s="3">
        <f t="shared" si="7"/>
        <v>-4760</v>
      </c>
      <c r="M14" s="3">
        <f t="shared" si="7"/>
        <v>19914</v>
      </c>
      <c r="N14" s="221">
        <f t="shared" si="7"/>
        <v>-50400</v>
      </c>
    </row>
    <row r="15" spans="1:14">
      <c r="A15" s="223" t="s">
        <v>9</v>
      </c>
      <c r="B15" s="3">
        <f t="shared" si="1"/>
        <v>-272</v>
      </c>
      <c r="C15" s="3">
        <f t="shared" ref="C15:N15" si="8">ROUND(+C28*C40,0)</f>
        <v>728</v>
      </c>
      <c r="D15" s="3">
        <f t="shared" si="8"/>
        <v>-673</v>
      </c>
      <c r="E15" s="3">
        <f t="shared" si="8"/>
        <v>-236</v>
      </c>
      <c r="F15" s="3">
        <f t="shared" si="8"/>
        <v>974</v>
      </c>
      <c r="G15" s="3">
        <f t="shared" si="8"/>
        <v>-14</v>
      </c>
      <c r="H15" s="3">
        <f t="shared" si="8"/>
        <v>0</v>
      </c>
      <c r="I15" s="3">
        <f t="shared" si="8"/>
        <v>0</v>
      </c>
      <c r="J15" s="3">
        <f t="shared" si="8"/>
        <v>0</v>
      </c>
      <c r="K15" s="3">
        <f t="shared" si="8"/>
        <v>0</v>
      </c>
      <c r="L15" s="3">
        <f t="shared" si="8"/>
        <v>-324</v>
      </c>
      <c r="M15" s="3">
        <f t="shared" si="8"/>
        <v>808</v>
      </c>
      <c r="N15" s="221">
        <f t="shared" si="8"/>
        <v>-1535</v>
      </c>
    </row>
    <row r="16" spans="1:14">
      <c r="A16" s="2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21"/>
    </row>
    <row r="17" spans="1:14">
      <c r="A17" s="218" t="s">
        <v>10</v>
      </c>
      <c r="B17" s="3">
        <f t="shared" ref="B17:N17" si="9">SUM(B8:B16)</f>
        <v>-5349119</v>
      </c>
      <c r="C17" s="3">
        <f t="shared" si="9"/>
        <v>2252656</v>
      </c>
      <c r="D17" s="3">
        <f t="shared" si="9"/>
        <v>-1796094</v>
      </c>
      <c r="E17" s="3">
        <f t="shared" si="9"/>
        <v>-241656</v>
      </c>
      <c r="F17" s="3">
        <f t="shared" si="9"/>
        <v>2054230</v>
      </c>
      <c r="G17" s="3">
        <f t="shared" si="9"/>
        <v>282372</v>
      </c>
      <c r="H17" s="3">
        <f t="shared" si="9"/>
        <v>-3398039</v>
      </c>
      <c r="I17" s="3">
        <f t="shared" si="9"/>
        <v>-896625</v>
      </c>
      <c r="J17" s="3">
        <f t="shared" si="9"/>
        <v>-566154</v>
      </c>
      <c r="K17" s="3">
        <f t="shared" si="9"/>
        <v>129982</v>
      </c>
      <c r="L17" s="3">
        <f t="shared" si="9"/>
        <v>-652506</v>
      </c>
      <c r="M17" s="3">
        <f t="shared" si="9"/>
        <v>2059710</v>
      </c>
      <c r="N17" s="221">
        <f t="shared" si="9"/>
        <v>-4576995</v>
      </c>
    </row>
    <row r="18" spans="1:14" ht="13.8" thickBot="1">
      <c r="A18" s="162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5"/>
    </row>
    <row r="19" spans="1:14" s="211" customFormat="1">
      <c r="A19" s="226"/>
      <c r="B19" s="16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8"/>
    </row>
    <row r="20" spans="1:14">
      <c r="A20" s="229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19"/>
    </row>
    <row r="21" spans="1:14">
      <c r="A21" s="220" t="s">
        <v>1</v>
      </c>
      <c r="B21" s="4">
        <f>SUM(C21:N21)</f>
        <v>-86247053.781314552</v>
      </c>
      <c r="C21" s="7">
        <f>'Temp Adj. by Schedule'!B9</f>
        <v>45614164.260993458</v>
      </c>
      <c r="D21" s="7">
        <f>'Temp Adj. by Schedule'!C9</f>
        <v>-37385074.195232525</v>
      </c>
      <c r="E21" s="7">
        <f>'Temp Adj. by Schedule'!D9</f>
        <v>-6647732.9893705752</v>
      </c>
      <c r="F21" s="7">
        <f>'Temp Adj. by Schedule'!E9</f>
        <v>45412078.227756083</v>
      </c>
      <c r="G21" s="7">
        <f>'Temp Adj. by Schedule'!F9</f>
        <v>4693367.7024600478</v>
      </c>
      <c r="H21" s="7">
        <f>'Temp Adj. by Schedule'!G9</f>
        <v>-59661394.269813351</v>
      </c>
      <c r="I21" s="7">
        <f>'Temp Adj. by Schedule'!H9</f>
        <v>-13868344.510532849</v>
      </c>
      <c r="J21" s="7">
        <f>'Temp Adj. by Schedule'!I9</f>
        <v>-8758668.1285466496</v>
      </c>
      <c r="K21" s="7">
        <f>'Temp Adj. by Schedule'!J9</f>
        <v>2011044.6902927521</v>
      </c>
      <c r="L21" s="7">
        <f>'Temp Adj. by Schedule'!K9</f>
        <v>-13080667.725057906</v>
      </c>
      <c r="M21" s="7">
        <f>'Temp Adj. by Schedule'!L9</f>
        <v>38687179.116253786</v>
      </c>
      <c r="N21" s="230">
        <f>'Temp Adj. by Schedule'!M9</f>
        <v>-83263005.960516825</v>
      </c>
    </row>
    <row r="22" spans="1:14">
      <c r="A22" s="222" t="s">
        <v>124</v>
      </c>
      <c r="B22" s="4">
        <f t="shared" ref="B22:B28" si="10">SUM(C22:N22)</f>
        <v>-15393233.960725293</v>
      </c>
      <c r="C22" s="7">
        <f>'Temp Adj. by Schedule'!B13</f>
        <v>5991321.5889347754</v>
      </c>
      <c r="D22" s="7">
        <f>'Temp Adj. by Schedule'!C13</f>
        <v>-4275518.6840156764</v>
      </c>
      <c r="E22" s="7">
        <f>'Temp Adj. by Schedule'!D13</f>
        <v>208249.13383066683</v>
      </c>
      <c r="F22" s="7">
        <f>'Temp Adj. by Schedule'!E13</f>
        <v>3884522.322159302</v>
      </c>
      <c r="G22" s="7">
        <f>'Temp Adj. by Schedule'!F13</f>
        <v>943311.08287004079</v>
      </c>
      <c r="H22" s="7">
        <f>'Temp Adj. by Schedule'!G13</f>
        <v>-11075579.668241309</v>
      </c>
      <c r="I22" s="7">
        <f>'Temp Adj. by Schedule'!H13</f>
        <v>-2577955.713505948</v>
      </c>
      <c r="J22" s="7">
        <f>'Temp Adj. by Schedule'!I13</f>
        <v>-1626941.0238004932</v>
      </c>
      <c r="K22" s="7">
        <f>'Temp Adj. by Schedule'!J13</f>
        <v>373302.69632302003</v>
      </c>
      <c r="L22" s="7">
        <f>'Temp Adj. by Schedule'!K13</f>
        <v>-1004510.4722597296</v>
      </c>
      <c r="M22" s="7">
        <f>'Temp Adj. by Schedule'!L13</f>
        <v>4094503.1411076998</v>
      </c>
      <c r="N22" s="230">
        <f>'Temp Adj. by Schedule'!M13</f>
        <v>-10327938.364127642</v>
      </c>
    </row>
    <row r="23" spans="1:14">
      <c r="A23" s="222" t="s">
        <v>127</v>
      </c>
      <c r="B23" s="4">
        <f t="shared" si="10"/>
        <v>-13095153.261083592</v>
      </c>
      <c r="C23" s="7">
        <f>'Temp Adj. by Schedule'!B17</f>
        <v>4129347.2539739953</v>
      </c>
      <c r="D23" s="7">
        <f>'Temp Adj. by Schedule'!C17</f>
        <v>-2648722.9519640552</v>
      </c>
      <c r="E23" s="7">
        <f>'Temp Adj. by Schedule'!D17</f>
        <v>649430.28046317142</v>
      </c>
      <c r="F23" s="7">
        <f>'Temp Adj. by Schedule'!E17</f>
        <v>1695435.2095992616</v>
      </c>
      <c r="G23" s="7">
        <f>'Temp Adj. by Schedule'!F17</f>
        <v>841923.85004116665</v>
      </c>
      <c r="H23" s="7">
        <f>'Temp Adj. by Schedule'!G17</f>
        <v>-9598493.5670961495</v>
      </c>
      <c r="I23" s="7">
        <f>'Temp Adj. by Schedule'!H17</f>
        <v>-2233383.3142475262</v>
      </c>
      <c r="J23" s="7">
        <f>'Temp Adj. by Schedule'!I17</f>
        <v>-1410232.2856952355</v>
      </c>
      <c r="K23" s="7">
        <f>'Temp Adj. by Schedule'!J17</f>
        <v>323733.25442073977</v>
      </c>
      <c r="L23" s="7">
        <f>'Temp Adj. by Schedule'!K17</f>
        <v>-355945.60263705498</v>
      </c>
      <c r="M23" s="7">
        <f>'Temp Adj. by Schedule'!L17</f>
        <v>2358922.0581651642</v>
      </c>
      <c r="N23" s="230">
        <f>'Temp Adj. by Schedule'!M17</f>
        <v>-6847167.4461070681</v>
      </c>
    </row>
    <row r="24" spans="1:14">
      <c r="A24" s="222" t="s">
        <v>125</v>
      </c>
      <c r="B24" s="4">
        <f t="shared" si="10"/>
        <v>-6325356.6896139039</v>
      </c>
      <c r="C24" s="7">
        <f>'Temp Adj. by Schedule'!B21</f>
        <v>554115.66031933308</v>
      </c>
      <c r="D24" s="7">
        <f>'Temp Adj. by Schedule'!C21</f>
        <v>-534924.79537421488</v>
      </c>
      <c r="E24" s="7">
        <f>'Temp Adj. by Schedule'!D21</f>
        <v>-195778.33524808029</v>
      </c>
      <c r="F24" s="7">
        <f>'Temp Adj. by Schedule'!E21</f>
        <v>441362.36760866968</v>
      </c>
      <c r="G24" s="7">
        <f>'Temp Adj. by Schedule'!F21</f>
        <v>528995.60920295934</v>
      </c>
      <c r="H24" s="7">
        <f>'Temp Adj. by Schedule'!G21</f>
        <v>-4812144.1462758351</v>
      </c>
      <c r="I24" s="7">
        <f>'Temp Adj. by Schedule'!H21</f>
        <v>-1119664.6711726633</v>
      </c>
      <c r="J24" s="7">
        <f>'Temp Adj. by Schedule'!I21</f>
        <v>-706928.55575126142</v>
      </c>
      <c r="K24" s="7">
        <f>'Temp Adj. by Schedule'!J21</f>
        <v>162517.27190433239</v>
      </c>
      <c r="L24" s="7">
        <f>'Temp Adj. by Schedule'!K21</f>
        <v>-132564.13365044474</v>
      </c>
      <c r="M24" s="7">
        <f>'Temp Adj. by Schedule'!L21</f>
        <v>577538.3126157464</v>
      </c>
      <c r="N24" s="230">
        <f>'Temp Adj. by Schedule'!M21</f>
        <v>-1087881.2737924459</v>
      </c>
    </row>
    <row r="25" spans="1:14">
      <c r="A25" s="220" t="s">
        <v>5</v>
      </c>
      <c r="B25" s="4">
        <f t="shared" si="10"/>
        <v>0</v>
      </c>
      <c r="C25" s="7">
        <f>'Temp Adj. by Schedule'!B27</f>
        <v>0</v>
      </c>
      <c r="D25" s="7">
        <f>'Temp Adj. by Schedule'!C27</f>
        <v>0</v>
      </c>
      <c r="E25" s="7">
        <f>'Temp Adj. by Schedule'!D27</f>
        <v>0</v>
      </c>
      <c r="F25" s="7">
        <f>'Temp Adj. by Schedule'!E27</f>
        <v>0</v>
      </c>
      <c r="G25" s="7">
        <f>'Temp Adj. by Schedule'!F27</f>
        <v>0</v>
      </c>
      <c r="H25" s="7">
        <f>'Temp Adj. by Schedule'!G27</f>
        <v>0</v>
      </c>
      <c r="I25" s="7">
        <f>'Temp Adj. by Schedule'!H27</f>
        <v>0</v>
      </c>
      <c r="J25" s="7">
        <f>'Temp Adj. by Schedule'!I27</f>
        <v>0</v>
      </c>
      <c r="K25" s="7">
        <f>'Temp Adj. by Schedule'!J27</f>
        <v>0</v>
      </c>
      <c r="L25" s="7">
        <f>'Temp Adj. by Schedule'!K27</f>
        <v>0</v>
      </c>
      <c r="M25" s="7">
        <f>'Temp Adj. by Schedule'!L27</f>
        <v>0</v>
      </c>
      <c r="N25" s="230">
        <f>'Temp Adj. by Schedule'!M27</f>
        <v>0</v>
      </c>
    </row>
    <row r="26" spans="1:14">
      <c r="A26" s="222" t="s">
        <v>126</v>
      </c>
      <c r="B26" s="4">
        <f t="shared" si="10"/>
        <v>-2447933.5613421709</v>
      </c>
      <c r="C26" s="7">
        <f>'Temp Adj. by Schedule'!B25</f>
        <v>460335.22499683307</v>
      </c>
      <c r="D26" s="7">
        <f>'Temp Adj. by Schedule'!C25</f>
        <v>-441746.7900469664</v>
      </c>
      <c r="E26" s="7">
        <f>'Temp Adj. by Schedule'!D25</f>
        <v>-162273.09305403932</v>
      </c>
      <c r="F26" s="7">
        <f>'Temp Adj. by Schedule'!E25</f>
        <v>377941.09516691917</v>
      </c>
      <c r="G26" s="7">
        <f>'Temp Adj. by Schedule'!F25</f>
        <v>239411.74189183387</v>
      </c>
      <c r="H26" s="7">
        <f>'Temp Adj. by Schedule'!G25</f>
        <v>-1772483.6782134727</v>
      </c>
      <c r="I26" s="7">
        <f>'Temp Adj. by Schedule'!H25</f>
        <v>-412725.62040044315</v>
      </c>
      <c r="J26" s="7">
        <f>'Temp Adj. by Schedule'!I25</f>
        <v>-259757.99150242086</v>
      </c>
      <c r="K26" s="7">
        <f>'Temp Adj. by Schedule'!J25</f>
        <v>59572.417645638532</v>
      </c>
      <c r="L26" s="7">
        <f>'Temp Adj. by Schedule'!K25</f>
        <v>-114237.99236091677</v>
      </c>
      <c r="M26" s="7">
        <f>'Temp Adj. by Schedule'!L25</f>
        <v>479511.3256426428</v>
      </c>
      <c r="N26" s="230">
        <f>'Temp Adj. by Schedule'!M25</f>
        <v>-901480.20110777917</v>
      </c>
    </row>
    <row r="27" spans="1:14">
      <c r="A27" s="220" t="s">
        <v>8</v>
      </c>
      <c r="B27" s="4">
        <f>SUM(C27:N27)</f>
        <v>-622835.0512850089</v>
      </c>
      <c r="C27" s="7">
        <f>'Temp Adj. by Schedule'!B28</f>
        <v>899270.93207949668</v>
      </c>
      <c r="D27" s="7">
        <f>'Temp Adj. by Schedule'!C28</f>
        <v>-635276.09384849807</v>
      </c>
      <c r="E27" s="7">
        <f>'Temp Adj. by Schedule'!D28</f>
        <v>39625.47607474916</v>
      </c>
      <c r="F27" s="7">
        <f>'Temp Adj. by Schedule'!E28</f>
        <v>563474.32380550075</v>
      </c>
      <c r="G27" s="7">
        <f>'Temp Adj. by Schedule'!F28</f>
        <v>25471.663389751466</v>
      </c>
      <c r="H27" s="7">
        <f>'Temp Adj. by Schedule'!G28</f>
        <v>-336371.14041125012</v>
      </c>
      <c r="I27" s="7">
        <f>'Temp Adj. by Schedule'!H28</f>
        <v>-78170.455971999763</v>
      </c>
      <c r="J27" s="7">
        <f>'Temp Adj. by Schedule'!I28</f>
        <v>-49295.287119750799</v>
      </c>
      <c r="K27" s="7">
        <f>'Temp Adj. by Schedule'!J28</f>
        <v>11305.290032749934</v>
      </c>
      <c r="L27" s="7">
        <f>'Temp Adj. by Schedule'!K28</f>
        <v>-143544.81804649765</v>
      </c>
      <c r="M27" s="7">
        <f>'Temp Adj. by Schedule'!L28</f>
        <v>600521.46176199522</v>
      </c>
      <c r="N27" s="230">
        <f>'Temp Adj. by Schedule'!M28</f>
        <v>-1519846.4030312556</v>
      </c>
    </row>
    <row r="28" spans="1:14">
      <c r="A28" s="223" t="s">
        <v>9</v>
      </c>
      <c r="B28" s="4">
        <f t="shared" si="10"/>
        <v>-4506.8873355445867</v>
      </c>
      <c r="C28" s="7">
        <f>'Temp Adj. by Schedule'!B29</f>
        <v>19293.575058333266</v>
      </c>
      <c r="D28" s="7">
        <f>'Temp Adj. by Schedule'!C29</f>
        <v>-17850.795422822139</v>
      </c>
      <c r="E28" s="7">
        <f>'Temp Adj. by Schedule'!D29</f>
        <v>-6254.1475842556019</v>
      </c>
      <c r="F28" s="7">
        <f>'Temp Adj. by Schedule'!E29</f>
        <v>25824.002586333365</v>
      </c>
      <c r="G28" s="7">
        <f>'Temp Adj. by Schedule'!F29</f>
        <v>-362.31237175548461</v>
      </c>
      <c r="H28" s="7">
        <f>'Temp Adj. by Schedule'!G29</f>
        <v>0</v>
      </c>
      <c r="I28" s="7">
        <f>'Temp Adj. by Schedule'!H29</f>
        <v>0</v>
      </c>
      <c r="J28" s="7">
        <f>'Temp Adj. by Schedule'!I29</f>
        <v>0</v>
      </c>
      <c r="K28" s="7">
        <f>'Temp Adj. by Schedule'!J29</f>
        <v>0</v>
      </c>
      <c r="L28" s="7">
        <f>'Temp Adj. by Schedule'!K29</f>
        <v>-7753.4023053109895</v>
      </c>
      <c r="M28" s="7">
        <f>'Temp Adj. by Schedule'!L29</f>
        <v>19337.065079377542</v>
      </c>
      <c r="N28" s="230">
        <f>'Temp Adj. by Schedule'!M29</f>
        <v>-36740.872375444545</v>
      </c>
    </row>
    <row r="29" spans="1:14">
      <c r="A29" s="2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31"/>
    </row>
    <row r="30" spans="1:14">
      <c r="A30" s="218" t="s">
        <v>10</v>
      </c>
      <c r="B30" s="2">
        <f t="shared" ref="B30:N30" si="11">SUM(B21:B29)</f>
        <v>-124136073.19270006</v>
      </c>
      <c r="C30" s="2">
        <f t="shared" si="11"/>
        <v>57667848.496356227</v>
      </c>
      <c r="D30" s="2">
        <f t="shared" si="11"/>
        <v>-45939114.305904761</v>
      </c>
      <c r="E30" s="2">
        <f t="shared" si="11"/>
        <v>-6114733.6748883631</v>
      </c>
      <c r="F30" s="2">
        <f t="shared" si="11"/>
        <v>52400637.548682079</v>
      </c>
      <c r="G30" s="2">
        <f t="shared" si="11"/>
        <v>7272119.337484045</v>
      </c>
      <c r="H30" s="2">
        <f t="shared" si="11"/>
        <v>-87256466.470051363</v>
      </c>
      <c r="I30" s="2">
        <f t="shared" si="11"/>
        <v>-20290244.285831429</v>
      </c>
      <c r="J30" s="2">
        <f t="shared" si="11"/>
        <v>-12811823.272415813</v>
      </c>
      <c r="K30" s="2">
        <f t="shared" si="11"/>
        <v>2941475.6206192328</v>
      </c>
      <c r="L30" s="2">
        <f t="shared" si="11"/>
        <v>-14839224.146317858</v>
      </c>
      <c r="M30" s="2">
        <f t="shared" si="11"/>
        <v>46817512.480626412</v>
      </c>
      <c r="N30" s="219">
        <f t="shared" si="11"/>
        <v>-103984060.52105847</v>
      </c>
    </row>
    <row r="31" spans="1:14" ht="13.8" thickBot="1">
      <c r="A31" s="162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3"/>
    </row>
    <row r="32" spans="1:14" s="8" customFormat="1" ht="61.5" customHeight="1" thickBot="1">
      <c r="A32" s="232" t="s">
        <v>74</v>
      </c>
      <c r="B32" s="233"/>
      <c r="C32" s="441" t="s">
        <v>167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3"/>
    </row>
    <row r="33" spans="1:15" s="5" customFormat="1">
      <c r="A33" s="220" t="s">
        <v>1</v>
      </c>
      <c r="B33" s="4"/>
      <c r="C33" s="380">
        <v>3.9494000000000001E-2</v>
      </c>
      <c r="D33" s="381">
        <f>+C33</f>
        <v>3.9494000000000001E-2</v>
      </c>
      <c r="E33" s="381">
        <f t="shared" ref="E33:H36" si="12">+D33</f>
        <v>3.9494000000000001E-2</v>
      </c>
      <c r="F33" s="381">
        <f t="shared" si="12"/>
        <v>3.9494000000000001E-2</v>
      </c>
      <c r="G33" s="381">
        <f t="shared" si="12"/>
        <v>3.9494000000000001E-2</v>
      </c>
      <c r="H33" s="381">
        <f t="shared" si="12"/>
        <v>3.9494000000000001E-2</v>
      </c>
      <c r="I33" s="381">
        <v>4.3950000000000003E-2</v>
      </c>
      <c r="J33" s="381">
        <f t="shared" ref="J33:N36" si="13">+I33</f>
        <v>4.3950000000000003E-2</v>
      </c>
      <c r="K33" s="381">
        <f t="shared" si="13"/>
        <v>4.3950000000000003E-2</v>
      </c>
      <c r="L33" s="381">
        <f t="shared" si="13"/>
        <v>4.3950000000000003E-2</v>
      </c>
      <c r="M33" s="381">
        <f t="shared" si="13"/>
        <v>4.3950000000000003E-2</v>
      </c>
      <c r="N33" s="382">
        <f t="shared" si="13"/>
        <v>4.3950000000000003E-2</v>
      </c>
    </row>
    <row r="34" spans="1:15" s="5" customFormat="1">
      <c r="A34" s="222" t="s">
        <v>124</v>
      </c>
      <c r="B34" s="4"/>
      <c r="C34" s="383">
        <v>3.8613000000000001E-2</v>
      </c>
      <c r="D34" s="384">
        <f t="shared" ref="D34:D36" si="14">+C34</f>
        <v>3.8613000000000001E-2</v>
      </c>
      <c r="E34" s="384">
        <f t="shared" si="12"/>
        <v>3.8613000000000001E-2</v>
      </c>
      <c r="F34" s="384">
        <f t="shared" si="12"/>
        <v>3.8613000000000001E-2</v>
      </c>
      <c r="G34" s="384">
        <f t="shared" si="12"/>
        <v>3.8613000000000001E-2</v>
      </c>
      <c r="H34" s="384">
        <f t="shared" si="12"/>
        <v>3.8613000000000001E-2</v>
      </c>
      <c r="I34" s="384">
        <v>4.5733000000000003E-2</v>
      </c>
      <c r="J34" s="384">
        <f t="shared" si="13"/>
        <v>4.5733000000000003E-2</v>
      </c>
      <c r="K34" s="384">
        <f t="shared" si="13"/>
        <v>4.5733000000000003E-2</v>
      </c>
      <c r="L34" s="384">
        <f t="shared" si="13"/>
        <v>4.5733000000000003E-2</v>
      </c>
      <c r="M34" s="384">
        <f t="shared" si="13"/>
        <v>4.5733000000000003E-2</v>
      </c>
      <c r="N34" s="385">
        <f t="shared" si="13"/>
        <v>4.5733000000000003E-2</v>
      </c>
    </row>
    <row r="35" spans="1:15" s="5" customFormat="1">
      <c r="A35" s="222" t="s">
        <v>127</v>
      </c>
      <c r="B35" s="4"/>
      <c r="C35" s="383">
        <v>3.8234999999999998E-2</v>
      </c>
      <c r="D35" s="384">
        <f t="shared" si="14"/>
        <v>3.8234999999999998E-2</v>
      </c>
      <c r="E35" s="384">
        <f t="shared" si="12"/>
        <v>3.8234999999999998E-2</v>
      </c>
      <c r="F35" s="384">
        <f t="shared" si="12"/>
        <v>3.8234999999999998E-2</v>
      </c>
      <c r="G35" s="384">
        <f t="shared" si="12"/>
        <v>3.8234999999999998E-2</v>
      </c>
      <c r="H35" s="384">
        <f t="shared" si="12"/>
        <v>3.8234999999999998E-2</v>
      </c>
      <c r="I35" s="384">
        <v>4.4991999999999997E-2</v>
      </c>
      <c r="J35" s="384">
        <f t="shared" si="13"/>
        <v>4.4991999999999997E-2</v>
      </c>
      <c r="K35" s="384">
        <f t="shared" si="13"/>
        <v>4.4991999999999997E-2</v>
      </c>
      <c r="L35" s="384">
        <f t="shared" si="13"/>
        <v>4.4991999999999997E-2</v>
      </c>
      <c r="M35" s="384">
        <f t="shared" si="13"/>
        <v>4.4991999999999997E-2</v>
      </c>
      <c r="N35" s="385">
        <f t="shared" si="13"/>
        <v>4.4991999999999997E-2</v>
      </c>
    </row>
    <row r="36" spans="1:15" s="5" customFormat="1">
      <c r="A36" s="222" t="s">
        <v>125</v>
      </c>
      <c r="B36" s="4"/>
      <c r="C36" s="383">
        <v>3.6493999999999999E-2</v>
      </c>
      <c r="D36" s="384">
        <f t="shared" si="14"/>
        <v>3.6493999999999999E-2</v>
      </c>
      <c r="E36" s="384">
        <f t="shared" si="12"/>
        <v>3.6493999999999999E-2</v>
      </c>
      <c r="F36" s="384">
        <f t="shared" si="12"/>
        <v>3.6493999999999999E-2</v>
      </c>
      <c r="G36" s="384">
        <f t="shared" si="12"/>
        <v>3.6493999999999999E-2</v>
      </c>
      <c r="H36" s="384">
        <f t="shared" si="12"/>
        <v>3.6493999999999999E-2</v>
      </c>
      <c r="I36" s="384">
        <v>4.3603999999999997E-2</v>
      </c>
      <c r="J36" s="384">
        <f t="shared" si="13"/>
        <v>4.3603999999999997E-2</v>
      </c>
      <c r="K36" s="384">
        <f t="shared" si="13"/>
        <v>4.3603999999999997E-2</v>
      </c>
      <c r="L36" s="384">
        <f t="shared" si="13"/>
        <v>4.3603999999999997E-2</v>
      </c>
      <c r="M36" s="384">
        <f t="shared" si="13"/>
        <v>4.3603999999999997E-2</v>
      </c>
      <c r="N36" s="385">
        <f t="shared" si="13"/>
        <v>4.3603999999999997E-2</v>
      </c>
    </row>
    <row r="37" spans="1:15" s="5" customFormat="1">
      <c r="A37" s="220" t="s">
        <v>5</v>
      </c>
      <c r="B37" s="4"/>
      <c r="C37" s="383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5"/>
    </row>
    <row r="38" spans="1:15" s="5" customFormat="1">
      <c r="A38" s="222" t="s">
        <v>126</v>
      </c>
      <c r="B38" s="4"/>
      <c r="C38" s="383">
        <v>3.5097000000000003E-2</v>
      </c>
      <c r="D38" s="384">
        <f t="shared" ref="D38:N38" si="15">+C38</f>
        <v>3.5097000000000003E-2</v>
      </c>
      <c r="E38" s="384">
        <f t="shared" ref="E38:E40" si="16">+D38</f>
        <v>3.5097000000000003E-2</v>
      </c>
      <c r="F38" s="384">
        <f t="shared" ref="F38:F40" si="17">+E38</f>
        <v>3.5097000000000003E-2</v>
      </c>
      <c r="G38" s="384">
        <f t="shared" ref="G38:G40" si="18">+F38</f>
        <v>3.5097000000000003E-2</v>
      </c>
      <c r="H38" s="384">
        <f t="shared" ref="H38:H40" si="19">+G38</f>
        <v>3.5097000000000003E-2</v>
      </c>
      <c r="I38" s="384">
        <v>4.1952000000000003E-2</v>
      </c>
      <c r="J38" s="384">
        <f t="shared" si="15"/>
        <v>4.1952000000000003E-2</v>
      </c>
      <c r="K38" s="384">
        <f t="shared" si="15"/>
        <v>4.1952000000000003E-2</v>
      </c>
      <c r="L38" s="384">
        <f t="shared" si="15"/>
        <v>4.1952000000000003E-2</v>
      </c>
      <c r="M38" s="384">
        <f t="shared" si="15"/>
        <v>4.1952000000000003E-2</v>
      </c>
      <c r="N38" s="385">
        <f t="shared" si="15"/>
        <v>4.1952000000000003E-2</v>
      </c>
    </row>
    <row r="39" spans="1:15" s="5" customFormat="1">
      <c r="A39" s="220" t="s">
        <v>8</v>
      </c>
      <c r="B39" s="4"/>
      <c r="C39" s="383">
        <v>2.7616999999999999E-2</v>
      </c>
      <c r="D39" s="384">
        <f t="shared" ref="D39:N40" si="20">+C39</f>
        <v>2.7616999999999999E-2</v>
      </c>
      <c r="E39" s="384">
        <f t="shared" si="16"/>
        <v>2.7616999999999999E-2</v>
      </c>
      <c r="F39" s="384">
        <f t="shared" si="17"/>
        <v>2.7616999999999999E-2</v>
      </c>
      <c r="G39" s="384">
        <f t="shared" si="18"/>
        <v>2.7616999999999999E-2</v>
      </c>
      <c r="H39" s="384">
        <f t="shared" si="19"/>
        <v>2.7616999999999999E-2</v>
      </c>
      <c r="I39" s="384">
        <v>3.3161000000000003E-2</v>
      </c>
      <c r="J39" s="384">
        <f t="shared" si="20"/>
        <v>3.3161000000000003E-2</v>
      </c>
      <c r="K39" s="384">
        <f t="shared" si="20"/>
        <v>3.3161000000000003E-2</v>
      </c>
      <c r="L39" s="384">
        <f t="shared" si="20"/>
        <v>3.3161000000000003E-2</v>
      </c>
      <c r="M39" s="384">
        <f t="shared" si="20"/>
        <v>3.3161000000000003E-2</v>
      </c>
      <c r="N39" s="385">
        <f t="shared" si="20"/>
        <v>3.3161000000000003E-2</v>
      </c>
    </row>
    <row r="40" spans="1:15" s="5" customFormat="1">
      <c r="A40" s="223" t="s">
        <v>9</v>
      </c>
      <c r="B40" s="4"/>
      <c r="C40" s="383">
        <v>3.7713999999999998E-2</v>
      </c>
      <c r="D40" s="384">
        <f t="shared" si="20"/>
        <v>3.7713999999999998E-2</v>
      </c>
      <c r="E40" s="384">
        <f t="shared" si="16"/>
        <v>3.7713999999999998E-2</v>
      </c>
      <c r="F40" s="384">
        <f t="shared" si="17"/>
        <v>3.7713999999999998E-2</v>
      </c>
      <c r="G40" s="384">
        <f t="shared" si="18"/>
        <v>3.7713999999999998E-2</v>
      </c>
      <c r="H40" s="384">
        <f t="shared" si="19"/>
        <v>3.7713999999999998E-2</v>
      </c>
      <c r="I40" s="384">
        <v>4.1777000000000002E-2</v>
      </c>
      <c r="J40" s="384">
        <f t="shared" si="20"/>
        <v>4.1777000000000002E-2</v>
      </c>
      <c r="K40" s="384">
        <f t="shared" si="20"/>
        <v>4.1777000000000002E-2</v>
      </c>
      <c r="L40" s="384">
        <f t="shared" si="20"/>
        <v>4.1777000000000002E-2</v>
      </c>
      <c r="M40" s="384">
        <f t="shared" si="20"/>
        <v>4.1777000000000002E-2</v>
      </c>
      <c r="N40" s="385">
        <f t="shared" si="20"/>
        <v>4.1777000000000002E-2</v>
      </c>
    </row>
    <row r="41" spans="1:15" ht="13.8" thickBot="1">
      <c r="A41" s="162"/>
      <c r="B41" s="16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/>
    </row>
    <row r="42" spans="1:15">
      <c r="C42" s="38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5">
      <c r="A43" s="212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5">
      <c r="A44" s="212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5">
      <c r="A45" s="195"/>
      <c r="B45" s="193"/>
      <c r="C45" s="194"/>
      <c r="D45" s="194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5">
      <c r="A46" s="195"/>
      <c r="B46" s="4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  <row r="47" spans="1:15">
      <c r="A47" s="161"/>
      <c r="B47" s="4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1:15">
      <c r="A48" s="161"/>
      <c r="B48" s="4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5">
      <c r="A49" s="160"/>
      <c r="B49" s="4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>
      <c r="A50" s="161"/>
      <c r="B50" s="4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5">
      <c r="A51" s="161"/>
      <c r="B51" s="4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5">
      <c r="A52" s="160"/>
      <c r="B52" s="4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5">
      <c r="A53" s="160"/>
      <c r="B53" s="4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</row>
    <row r="54" spans="1:15">
      <c r="A54" s="160"/>
      <c r="B54" s="4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5">
      <c r="A55" s="161"/>
      <c r="B55" s="4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</row>
    <row r="58" spans="1:15"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</row>
  </sheetData>
  <mergeCells count="1">
    <mergeCell ref="C32:N32"/>
  </mergeCells>
  <phoneticPr fontId="8" type="noConversion"/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workbookViewId="0">
      <selection activeCell="I30" sqref="I30"/>
    </sheetView>
  </sheetViews>
  <sheetFormatPr defaultRowHeight="13.2"/>
  <cols>
    <col min="1" max="1" width="28" customWidth="1"/>
    <col min="2" max="14" width="16" customWidth="1"/>
    <col min="15" max="15" width="12.33203125" style="71" customWidth="1"/>
    <col min="16" max="16" width="12.33203125" customWidth="1"/>
    <col min="17" max="20" width="12.6640625" customWidth="1"/>
  </cols>
  <sheetData>
    <row r="1" spans="1:28">
      <c r="A1" s="43"/>
    </row>
    <row r="2" spans="1:28">
      <c r="A2" s="43"/>
    </row>
    <row r="3" spans="1:28">
      <c r="A3" s="76"/>
    </row>
    <row r="4" spans="1:28">
      <c r="A4" s="43" t="s">
        <v>132</v>
      </c>
    </row>
    <row r="5" spans="1:28">
      <c r="A5" s="43" t="s">
        <v>41</v>
      </c>
    </row>
    <row r="6" spans="1:28">
      <c r="A6" s="55" t="s">
        <v>24</v>
      </c>
      <c r="O6" s="72" t="s">
        <v>44</v>
      </c>
    </row>
    <row r="7" spans="1:28">
      <c r="A7" s="43" t="s">
        <v>25</v>
      </c>
      <c r="B7" s="39">
        <f>'Sales &amp; Revenue Adj.'!C5</f>
        <v>44197</v>
      </c>
      <c r="C7" s="39">
        <f>'Sales &amp; Revenue Adj.'!D5</f>
        <v>44228</v>
      </c>
      <c r="D7" s="39">
        <f>'Sales &amp; Revenue Adj.'!E5</f>
        <v>44256</v>
      </c>
      <c r="E7" s="39">
        <f>'Sales &amp; Revenue Adj.'!F5</f>
        <v>44287</v>
      </c>
      <c r="F7" s="39">
        <f>'Sales &amp; Revenue Adj.'!G5</f>
        <v>44317</v>
      </c>
      <c r="G7" s="39">
        <f>'Sales &amp; Revenue Adj.'!H5</f>
        <v>44348</v>
      </c>
      <c r="H7" s="39">
        <f>'Sales &amp; Revenue Adj.'!I5</f>
        <v>44378</v>
      </c>
      <c r="I7" s="39">
        <f>'Sales &amp; Revenue Adj.'!J5</f>
        <v>44409</v>
      </c>
      <c r="J7" s="39">
        <f>'Sales &amp; Revenue Adj.'!K5</f>
        <v>44440</v>
      </c>
      <c r="K7" s="39">
        <f>'Sales &amp; Revenue Adj.'!L5</f>
        <v>44470</v>
      </c>
      <c r="L7" s="39">
        <f>'Sales &amp; Revenue Adj.'!M5</f>
        <v>44501</v>
      </c>
      <c r="M7" s="39">
        <f>'Sales &amp; Revenue Adj.'!N5</f>
        <v>44531</v>
      </c>
      <c r="N7" s="54" t="s">
        <v>19</v>
      </c>
      <c r="O7" s="72" t="s">
        <v>45</v>
      </c>
    </row>
    <row r="8" spans="1:28">
      <c r="A8" s="65" t="s">
        <v>111</v>
      </c>
      <c r="B8" s="85">
        <f>($B56*I$59+$C56*I$63+$D56*I$67)*B83</f>
        <v>45614164.260993458</v>
      </c>
      <c r="C8" s="85">
        <f t="shared" ref="C8:D8" si="0">($B56*J$59+$C56*J$63+$D56*J$67)*C83</f>
        <v>-37385074.195232525</v>
      </c>
      <c r="D8" s="85">
        <f t="shared" si="0"/>
        <v>-6647732.9893705752</v>
      </c>
      <c r="E8" s="85">
        <f>($B56*L$59+$C56*L$63+$D56*L$67)*E83</f>
        <v>45412078.227756083</v>
      </c>
      <c r="F8" s="1">
        <f>($B56*M$59+$C56*M$63+$D56*M$67+E$56*M$71+F$56*M$75)*F83</f>
        <v>4693367.7024600478</v>
      </c>
      <c r="G8" s="1">
        <f>($E56*N$71+$F56*N$75)*G83</f>
        <v>-59661394.269813351</v>
      </c>
      <c r="H8" s="1">
        <f>($E56*O$71+$F56*O$75)*H83</f>
        <v>-13868344.510532849</v>
      </c>
      <c r="I8" s="1">
        <f>($E56*P$71+$F56*P$75)*I83</f>
        <v>-8758668.1285466496</v>
      </c>
      <c r="J8" s="182">
        <f>($E56*Q$71+$F56*Q$75)*J83</f>
        <v>2011044.6902927521</v>
      </c>
      <c r="K8" s="1">
        <f>($B56*R$59+$C56*R$63+$D56*R$67)*K83</f>
        <v>-13080667.725057906</v>
      </c>
      <c r="L8" s="85">
        <f t="shared" ref="L8:M8" si="1">($B56*S$59+$C56*S$63+$D56*S$67)*L83</f>
        <v>38687179.116253786</v>
      </c>
      <c r="M8" s="85">
        <f t="shared" si="1"/>
        <v>-83263005.960516825</v>
      </c>
      <c r="N8" s="141">
        <f t="shared" ref="N8:N9" si="2">SUM(B8:M8)</f>
        <v>-86247053.781314552</v>
      </c>
    </row>
    <row r="9" spans="1:28">
      <c r="A9" s="58" t="s">
        <v>29</v>
      </c>
      <c r="B9" s="79">
        <f t="shared" ref="B9:M9" si="3">SUM(B8:B8)</f>
        <v>45614164.260993458</v>
      </c>
      <c r="C9" s="79">
        <f t="shared" si="3"/>
        <v>-37385074.195232525</v>
      </c>
      <c r="D9" s="79">
        <f t="shared" si="3"/>
        <v>-6647732.9893705752</v>
      </c>
      <c r="E9" s="79">
        <f t="shared" si="3"/>
        <v>45412078.227756083</v>
      </c>
      <c r="F9" s="79">
        <f t="shared" si="3"/>
        <v>4693367.7024600478</v>
      </c>
      <c r="G9" s="79">
        <f t="shared" si="3"/>
        <v>-59661394.269813351</v>
      </c>
      <c r="H9" s="79">
        <f t="shared" si="3"/>
        <v>-13868344.510532849</v>
      </c>
      <c r="I9" s="79">
        <f t="shared" si="3"/>
        <v>-8758668.1285466496</v>
      </c>
      <c r="J9" s="79">
        <f t="shared" si="3"/>
        <v>2011044.6902927521</v>
      </c>
      <c r="K9" s="79">
        <f t="shared" si="3"/>
        <v>-13080667.725057906</v>
      </c>
      <c r="L9" s="79">
        <f t="shared" si="3"/>
        <v>38687179.116253786</v>
      </c>
      <c r="M9" s="79">
        <f t="shared" si="3"/>
        <v>-83263005.960516825</v>
      </c>
      <c r="N9" s="142">
        <f t="shared" si="2"/>
        <v>-86247053.781314552</v>
      </c>
      <c r="O9" s="88">
        <f>N9/N31</f>
        <v>0.6947783312545317</v>
      </c>
    </row>
    <row r="10" spans="1:28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143"/>
      <c r="O10" s="69"/>
    </row>
    <row r="11" spans="1:28">
      <c r="A11" s="65" t="s">
        <v>35</v>
      </c>
      <c r="B11" s="85">
        <f>($B57*I$59+$C57*I$63+$D57*I$67)*B84</f>
        <v>806127.67926615954</v>
      </c>
      <c r="C11" s="184">
        <f t="shared" ref="C11:E12" si="4">($B57*J$59+$C57*J$63+$D57*J$67)*C84</f>
        <v>-614714.79298263532</v>
      </c>
      <c r="D11" s="184">
        <f t="shared" si="4"/>
        <v>-40090.493349303128</v>
      </c>
      <c r="E11" s="184">
        <f t="shared" si="4"/>
        <v>653109.50169167574</v>
      </c>
      <c r="F11" s="60">
        <f>($B57*M$59+$C57*M$63+$D57*M$67+E$57*M$71+F$57*M$75)*F84</f>
        <v>57756.573347364334</v>
      </c>
      <c r="G11" s="60">
        <f t="shared" ref="G11:J12" si="5">($E57*N$71+$F57*N$75)*G84</f>
        <v>-733432.9423971253</v>
      </c>
      <c r="H11" s="60">
        <f t="shared" si="5"/>
        <v>-170395.2796783995</v>
      </c>
      <c r="I11" s="60">
        <f t="shared" si="5"/>
        <v>-107526.63505447676</v>
      </c>
      <c r="J11" s="60">
        <f t="shared" si="5"/>
        <v>24676.746638249857</v>
      </c>
      <c r="K11" s="60">
        <f t="shared" ref="K11:M12" si="6">($B57*R$59+$C57*R$63+$D57*R$67)*K84</f>
        <v>-179679.68892279296</v>
      </c>
      <c r="L11" s="184">
        <f t="shared" si="6"/>
        <v>611298.85264802747</v>
      </c>
      <c r="M11" s="184">
        <f t="shared" si="6"/>
        <v>-1423963.900494359</v>
      </c>
      <c r="N11" s="141">
        <f>SUM(B11:M11)</f>
        <v>-1116834.379287615</v>
      </c>
      <c r="O11" s="84"/>
    </row>
    <row r="12" spans="1:28" s="56" customFormat="1">
      <c r="A12" s="65" t="s">
        <v>108</v>
      </c>
      <c r="B12" s="85">
        <f>($B58*I$59+$C58*I$63+$D58*I$67)*B85</f>
        <v>5185193.909668616</v>
      </c>
      <c r="C12" s="85">
        <f t="shared" si="4"/>
        <v>-3660803.8910330408</v>
      </c>
      <c r="D12" s="85">
        <f t="shared" si="4"/>
        <v>248339.62717996998</v>
      </c>
      <c r="E12" s="85">
        <f t="shared" si="4"/>
        <v>3231412.8204676262</v>
      </c>
      <c r="F12" s="60">
        <f>($B58*M$59+$C58*M$63+$D58*M$67+E$58*M$71+F$58*M$75)*F85</f>
        <v>885554.50952267647</v>
      </c>
      <c r="G12" s="85">
        <f t="shared" si="5"/>
        <v>-10342146.725844184</v>
      </c>
      <c r="H12" s="85">
        <f t="shared" si="5"/>
        <v>-2407560.4338275483</v>
      </c>
      <c r="I12" s="85">
        <f t="shared" si="5"/>
        <v>-1519414.3887460164</v>
      </c>
      <c r="J12" s="85">
        <f t="shared" si="5"/>
        <v>348625.9496847702</v>
      </c>
      <c r="K12" s="85">
        <f t="shared" si="6"/>
        <v>-824830.78333693673</v>
      </c>
      <c r="L12" s="85">
        <f t="shared" si="6"/>
        <v>3483204.2884596721</v>
      </c>
      <c r="M12" s="85">
        <f t="shared" si="6"/>
        <v>-8903974.4636332821</v>
      </c>
      <c r="N12" s="141">
        <f>SUM(B12:M12)</f>
        <v>-14276399.581437679</v>
      </c>
      <c r="O12" s="84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>
      <c r="A13" s="58" t="s">
        <v>30</v>
      </c>
      <c r="B13" s="79">
        <f t="shared" ref="B13:M13" si="7">SUM(B11:B12)</f>
        <v>5991321.5889347754</v>
      </c>
      <c r="C13" s="79">
        <f t="shared" si="7"/>
        <v>-4275518.6840156764</v>
      </c>
      <c r="D13" s="79">
        <f t="shared" si="7"/>
        <v>208249.13383066683</v>
      </c>
      <c r="E13" s="79">
        <f t="shared" si="7"/>
        <v>3884522.322159302</v>
      </c>
      <c r="F13" s="79">
        <f t="shared" si="7"/>
        <v>943311.08287004079</v>
      </c>
      <c r="G13" s="79">
        <f t="shared" si="7"/>
        <v>-11075579.668241309</v>
      </c>
      <c r="H13" s="79">
        <f t="shared" si="7"/>
        <v>-2577955.713505948</v>
      </c>
      <c r="I13" s="79">
        <f t="shared" si="7"/>
        <v>-1626941.0238004932</v>
      </c>
      <c r="J13" s="79">
        <f t="shared" si="7"/>
        <v>373302.69632302003</v>
      </c>
      <c r="K13" s="79">
        <f t="shared" si="7"/>
        <v>-1004510.4722597296</v>
      </c>
      <c r="L13" s="79">
        <f t="shared" si="7"/>
        <v>4094503.1411076998</v>
      </c>
      <c r="M13" s="79">
        <f t="shared" si="7"/>
        <v>-10327938.364127642</v>
      </c>
      <c r="N13" s="142">
        <f>SUM(B13:M13)</f>
        <v>-15393233.960725293</v>
      </c>
      <c r="O13" s="88">
        <f>N13/N31</f>
        <v>0.12400290717130971</v>
      </c>
    </row>
    <row r="14" spans="1:28">
      <c r="A14" s="59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141"/>
      <c r="O14" s="84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5" t="s">
        <v>36</v>
      </c>
      <c r="B15" s="85">
        <f>($B59*I$59+$C59*I$63+$D59*I$67)*B86</f>
        <v>346243.91727289313</v>
      </c>
      <c r="C15" s="85">
        <f t="shared" ref="C15:E16" si="8">($B59*J$59+$C59*J$63+$D59*J$67)*C86</f>
        <v>-240798.2631979493</v>
      </c>
      <c r="D15" s="85">
        <f t="shared" si="8"/>
        <v>25689.246287856651</v>
      </c>
      <c r="E15" s="85">
        <f t="shared" si="8"/>
        <v>198368.90799916413</v>
      </c>
      <c r="F15" s="85">
        <f>($B59*M$59+$C59*M$63+$D59*M$67+E59*M71+F59*M75)*F86</f>
        <v>38731.229311439456</v>
      </c>
      <c r="G15" s="85">
        <f t="shared" ref="G15:J16" si="9">($E59*N$71+$F59*N$75)*G86</f>
        <v>-454255.11589270848</v>
      </c>
      <c r="H15" s="85">
        <f t="shared" si="9"/>
        <v>-103868.72057999969</v>
      </c>
      <c r="I15" s="85">
        <f t="shared" si="9"/>
        <v>-65929.051457501075</v>
      </c>
      <c r="J15" s="85">
        <f t="shared" si="9"/>
        <v>15070.955739791578</v>
      </c>
      <c r="K15" s="85">
        <f t="shared" ref="K15:M16" si="10">($B59*R$59+$C59*R$63+$D59*R$67)*K86</f>
        <v>-47889.588103960334</v>
      </c>
      <c r="L15" s="85">
        <f t="shared" si="10"/>
        <v>220463.30510026502</v>
      </c>
      <c r="M15" s="85">
        <f t="shared" si="10"/>
        <v>-577940.24043739098</v>
      </c>
      <c r="N15" s="141">
        <f>SUM(B15:M15)</f>
        <v>-646113.41795809986</v>
      </c>
      <c r="O15" s="84"/>
    </row>
    <row r="16" spans="1:28" s="56" customFormat="1">
      <c r="A16" s="65" t="s">
        <v>109</v>
      </c>
      <c r="B16" s="85">
        <f>($B60*I$59+$C60*I$63+$D60*I$67)*B87</f>
        <v>3783103.3367011021</v>
      </c>
      <c r="C16" s="85">
        <f t="shared" si="8"/>
        <v>-2407924.688766106</v>
      </c>
      <c r="D16" s="85">
        <f t="shared" si="8"/>
        <v>623741.03417531482</v>
      </c>
      <c r="E16" s="85">
        <f t="shared" si="8"/>
        <v>1497066.3016000974</v>
      </c>
      <c r="F16" s="85">
        <f>($B60*M$59+$C60*M$63+$D60*M$67+E60*M71+F60*M75)*F87</f>
        <v>803192.6207297272</v>
      </c>
      <c r="G16" s="85">
        <f t="shared" si="9"/>
        <v>-9144238.4512034412</v>
      </c>
      <c r="H16" s="85">
        <f t="shared" si="9"/>
        <v>-2129514.5936675267</v>
      </c>
      <c r="I16" s="85">
        <f t="shared" si="9"/>
        <v>-1344303.2342377345</v>
      </c>
      <c r="J16" s="85">
        <f t="shared" si="9"/>
        <v>308662.29868094821</v>
      </c>
      <c r="K16" s="85">
        <f t="shared" si="10"/>
        <v>-308056.01453309465</v>
      </c>
      <c r="L16" s="85">
        <f t="shared" si="10"/>
        <v>2138458.7530648992</v>
      </c>
      <c r="M16" s="85">
        <f t="shared" si="10"/>
        <v>-6269227.2056696769</v>
      </c>
      <c r="N16" s="141">
        <f>SUM(B16:M16)</f>
        <v>-12449039.84312549</v>
      </c>
      <c r="O16" s="84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>
      <c r="A17" s="58" t="s">
        <v>31</v>
      </c>
      <c r="B17" s="79">
        <f t="shared" ref="B17:M17" si="11">SUM(B15:B16)</f>
        <v>4129347.2539739953</v>
      </c>
      <c r="C17" s="79">
        <f t="shared" si="11"/>
        <v>-2648722.9519640552</v>
      </c>
      <c r="D17" s="79">
        <f t="shared" si="11"/>
        <v>649430.28046317142</v>
      </c>
      <c r="E17" s="79">
        <f t="shared" si="11"/>
        <v>1695435.2095992616</v>
      </c>
      <c r="F17" s="79">
        <f t="shared" si="11"/>
        <v>841923.85004116665</v>
      </c>
      <c r="G17" s="79">
        <f t="shared" si="11"/>
        <v>-9598493.5670961495</v>
      </c>
      <c r="H17" s="79">
        <f t="shared" si="11"/>
        <v>-2233383.3142475262</v>
      </c>
      <c r="I17" s="79">
        <f t="shared" si="11"/>
        <v>-1410232.2856952355</v>
      </c>
      <c r="J17" s="79">
        <f t="shared" si="11"/>
        <v>323733.25442073977</v>
      </c>
      <c r="K17" s="79">
        <f t="shared" si="11"/>
        <v>-355945.60263705498</v>
      </c>
      <c r="L17" s="79">
        <f t="shared" si="11"/>
        <v>2358922.0581651642</v>
      </c>
      <c r="M17" s="79">
        <f t="shared" si="11"/>
        <v>-6847167.4461070681</v>
      </c>
      <c r="N17" s="142">
        <f>SUM(B17:M17)</f>
        <v>-13095153.261083592</v>
      </c>
      <c r="O17" s="88">
        <f>N17/N31</f>
        <v>0.10549031336568543</v>
      </c>
    </row>
    <row r="18" spans="1:28">
      <c r="A18" s="59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141"/>
      <c r="O18" s="84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5" t="s">
        <v>37</v>
      </c>
      <c r="B19" s="185">
        <f>($B61*I$59+$C61*I$63+$D61*I$67)*B88</f>
        <v>70359.088419333071</v>
      </c>
      <c r="C19" s="185">
        <f t="shared" ref="C19:E20" si="12">($B61*J$59+$C61*J$63+$D61*J$67)*C88</f>
        <v>-52448.577946666497</v>
      </c>
      <c r="D19" s="185">
        <f t="shared" si="12"/>
        <v>-1518.7351360000839</v>
      </c>
      <c r="E19" s="185">
        <f t="shared" si="12"/>
        <v>53016.361537333403</v>
      </c>
      <c r="F19" s="185">
        <f>($B61*M$59+$C61*M$63+$D61*M$67+E61*M71+F61*M75)*F88</f>
        <v>4646.0344471668132</v>
      </c>
      <c r="G19" s="85">
        <f t="shared" ref="G19:J20" si="13">($E61*N$71+$F61*N$75)*G88</f>
        <v>-58554.81176583335</v>
      </c>
      <c r="H19" s="85">
        <f t="shared" si="13"/>
        <v>-13607.755794666627</v>
      </c>
      <c r="I19" s="85">
        <f t="shared" si="13"/>
        <v>-8581.22446150014</v>
      </c>
      <c r="J19" s="85">
        <f t="shared" si="13"/>
        <v>1968.0021568333218</v>
      </c>
      <c r="K19" s="85">
        <f t="shared" ref="K19:M20" si="14">($B61*R$59+$C61*R$63+$D61*R$67)*K88</f>
        <v>-14269.686065999771</v>
      </c>
      <c r="L19" s="185">
        <f t="shared" si="14"/>
        <v>51180.508674666213</v>
      </c>
      <c r="M19" s="185">
        <f t="shared" si="14"/>
        <v>-122274.08382000044</v>
      </c>
      <c r="N19" s="141">
        <f>SUM(B19:M19)</f>
        <v>-90084.879755334085</v>
      </c>
      <c r="O19" s="84"/>
    </row>
    <row r="20" spans="1:28" s="56" customFormat="1">
      <c r="A20" s="65" t="s">
        <v>110</v>
      </c>
      <c r="B20" s="185">
        <f>($B62*I$59+$C62*I$63+$D62*I$67)*B89</f>
        <v>483756.57189999998</v>
      </c>
      <c r="C20" s="85">
        <f t="shared" si="12"/>
        <v>-482476.21742754843</v>
      </c>
      <c r="D20" s="85">
        <f t="shared" si="12"/>
        <v>-194259.6001120802</v>
      </c>
      <c r="E20" s="85">
        <f t="shared" si="12"/>
        <v>388346.00607133628</v>
      </c>
      <c r="F20" s="85">
        <f>($B62*M$59+$C62*M$63+$D62*M$67+E62*M71+F62*M75)*F89</f>
        <v>524349.57475579251</v>
      </c>
      <c r="G20" s="85">
        <f t="shared" si="13"/>
        <v>-4753589.3345100014</v>
      </c>
      <c r="H20" s="85">
        <f t="shared" si="13"/>
        <v>-1106056.9153779966</v>
      </c>
      <c r="I20" s="85">
        <f t="shared" si="13"/>
        <v>-698347.33128976123</v>
      </c>
      <c r="J20" s="85">
        <f t="shared" si="13"/>
        <v>160549.26974749906</v>
      </c>
      <c r="K20" s="85">
        <f t="shared" si="14"/>
        <v>-118294.44758444498</v>
      </c>
      <c r="L20" s="85">
        <f t="shared" si="14"/>
        <v>526357.80394108023</v>
      </c>
      <c r="M20" s="85">
        <f t="shared" si="14"/>
        <v>-965607.18997244537</v>
      </c>
      <c r="N20" s="141">
        <f>SUM(B20:M20)</f>
        <v>-6235271.8098585699</v>
      </c>
      <c r="O20" s="84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58" t="s">
        <v>32</v>
      </c>
      <c r="B21" s="79">
        <f t="shared" ref="B21:M21" si="15">SUM(B19:B20)</f>
        <v>554115.66031933308</v>
      </c>
      <c r="C21" s="79">
        <f t="shared" si="15"/>
        <v>-534924.79537421488</v>
      </c>
      <c r="D21" s="79">
        <f t="shared" si="15"/>
        <v>-195778.33524808029</v>
      </c>
      <c r="E21" s="79">
        <f t="shared" si="15"/>
        <v>441362.36760866968</v>
      </c>
      <c r="F21" s="79">
        <f t="shared" si="15"/>
        <v>528995.60920295934</v>
      </c>
      <c r="G21" s="79">
        <f t="shared" si="15"/>
        <v>-4812144.1462758351</v>
      </c>
      <c r="H21" s="79">
        <f t="shared" si="15"/>
        <v>-1119664.6711726633</v>
      </c>
      <c r="I21" s="79">
        <f t="shared" si="15"/>
        <v>-706928.55575126142</v>
      </c>
      <c r="J21" s="79">
        <f t="shared" si="15"/>
        <v>162517.27190433239</v>
      </c>
      <c r="K21" s="79">
        <f t="shared" si="15"/>
        <v>-132564.13365044474</v>
      </c>
      <c r="L21" s="79">
        <f t="shared" si="15"/>
        <v>577538.3126157464</v>
      </c>
      <c r="M21" s="79">
        <f t="shared" si="15"/>
        <v>-1087881.2737924459</v>
      </c>
      <c r="N21" s="142">
        <f>SUM(B21:M21)</f>
        <v>-6325356.6896139039</v>
      </c>
      <c r="O21" s="88">
        <f>N21/N31</f>
        <v>5.0955024812125868E-2</v>
      </c>
    </row>
    <row r="22" spans="1:28">
      <c r="A22" s="5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141"/>
      <c r="O22" s="84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5" t="s">
        <v>38</v>
      </c>
      <c r="B23" s="85">
        <f>($B63*I$59+$C63*I$63+$D63*I$67)*B90</f>
        <v>76577.307028083073</v>
      </c>
      <c r="C23" s="85">
        <f>($B63*J$59+$C63*J$63+$D63*J$67)*C90</f>
        <v>-61421.880291416441</v>
      </c>
      <c r="D23" s="85">
        <f t="shared" ref="D23:E24" si="16">($B63*K$59+$C63*K$63+$D63*K$67)*D90</f>
        <v>-8953.8996998751209</v>
      </c>
      <c r="E23" s="85">
        <f t="shared" si="16"/>
        <v>71816.866908583426</v>
      </c>
      <c r="F23" s="85">
        <f>($B63*M$59+$C63*M$63+$D63*M$67+E63*M71+F63*M75)*F90</f>
        <v>8779.2827951113195</v>
      </c>
      <c r="G23" s="85">
        <f t="shared" ref="G23:J24" si="17">($E63*N$71+$F63*N$75)*G90</f>
        <v>-109323.18243347226</v>
      </c>
      <c r="H23" s="85">
        <f t="shared" si="17"/>
        <v>-25405.99353644437</v>
      </c>
      <c r="I23" s="85">
        <f t="shared" si="17"/>
        <v>-16021.343746416926</v>
      </c>
      <c r="J23" s="85">
        <f t="shared" si="17"/>
        <v>3674.305361638867</v>
      </c>
      <c r="K23" s="85">
        <f t="shared" ref="K23:M24" si="18">($B63*R$59+$C63*R$63+$D63*R$67)*K90</f>
        <v>-20333.87469424968</v>
      </c>
      <c r="L23" s="85">
        <f t="shared" si="18"/>
        <v>62335.438355666032</v>
      </c>
      <c r="M23" s="85">
        <f t="shared" si="18"/>
        <v>-137096.80209875046</v>
      </c>
      <c r="N23" s="141">
        <f>SUM(B23:M23)</f>
        <v>-155373.77605154255</v>
      </c>
      <c r="O23" s="84"/>
    </row>
    <row r="24" spans="1:28" s="56" customFormat="1">
      <c r="A24" s="65" t="s">
        <v>6</v>
      </c>
      <c r="B24" s="85">
        <f>($B64*I$59+$C64*I$63+$D64*I$67)*B91</f>
        <v>383757.91796875</v>
      </c>
      <c r="C24" s="85">
        <f>($B64*J$59+$C64*J$63+$D64*J$67)*C91</f>
        <v>-380324.90975554998</v>
      </c>
      <c r="D24" s="85">
        <f t="shared" si="16"/>
        <v>-153319.19335416419</v>
      </c>
      <c r="E24" s="85">
        <f t="shared" si="16"/>
        <v>306124.22825833573</v>
      </c>
      <c r="F24" s="185">
        <f>($B64*M$59+$C64*M$63+$D64*M$67+E64*M71+F64*M75)*F91</f>
        <v>230632.45909672254</v>
      </c>
      <c r="G24" s="85">
        <f t="shared" si="17"/>
        <v>-1663160.4957800005</v>
      </c>
      <c r="H24" s="85">
        <f t="shared" si="17"/>
        <v>-387319.62686399877</v>
      </c>
      <c r="I24" s="85">
        <f t="shared" si="17"/>
        <v>-243736.64775600395</v>
      </c>
      <c r="J24" s="85">
        <f t="shared" si="17"/>
        <v>55898.112283999668</v>
      </c>
      <c r="K24" s="85">
        <f t="shared" si="18"/>
        <v>-93904.117666667094</v>
      </c>
      <c r="L24" s="85">
        <f t="shared" si="18"/>
        <v>417175.88728697679</v>
      </c>
      <c r="M24" s="85">
        <f t="shared" si="18"/>
        <v>-764383.39900902868</v>
      </c>
      <c r="N24" s="141">
        <f>SUM(B24:M24)</f>
        <v>-2292559.7852906287</v>
      </c>
      <c r="O24" s="84"/>
    </row>
    <row r="25" spans="1:28">
      <c r="A25" s="58" t="s">
        <v>33</v>
      </c>
      <c r="B25" s="79">
        <f t="shared" ref="B25:N25" si="19">SUM(B23:B24)</f>
        <v>460335.22499683307</v>
      </c>
      <c r="C25" s="79">
        <f t="shared" si="19"/>
        <v>-441746.7900469664</v>
      </c>
      <c r="D25" s="79">
        <f t="shared" si="19"/>
        <v>-162273.09305403932</v>
      </c>
      <c r="E25" s="79">
        <f t="shared" si="19"/>
        <v>377941.09516691917</v>
      </c>
      <c r="F25" s="79">
        <f t="shared" si="19"/>
        <v>239411.74189183387</v>
      </c>
      <c r="G25" s="79">
        <f t="shared" si="19"/>
        <v>-1772483.6782134727</v>
      </c>
      <c r="H25" s="79">
        <f t="shared" si="19"/>
        <v>-412725.62040044315</v>
      </c>
      <c r="I25" s="79">
        <f t="shared" si="19"/>
        <v>-259757.99150242086</v>
      </c>
      <c r="J25" s="79">
        <f t="shared" si="19"/>
        <v>59572.417645638532</v>
      </c>
      <c r="K25" s="79">
        <f t="shared" si="19"/>
        <v>-114237.99236091677</v>
      </c>
      <c r="L25" s="79">
        <f t="shared" si="19"/>
        <v>479511.3256426428</v>
      </c>
      <c r="M25" s="79">
        <f t="shared" si="19"/>
        <v>-901480.20110777917</v>
      </c>
      <c r="N25" s="142">
        <f t="shared" si="19"/>
        <v>-2447933.5613421714</v>
      </c>
      <c r="O25" s="88">
        <f>N25/N31</f>
        <v>1.9719759924596396E-2</v>
      </c>
    </row>
    <row r="26" spans="1:28">
      <c r="A26" s="59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141"/>
      <c r="O26" s="84"/>
    </row>
    <row r="27" spans="1:28">
      <c r="A27" s="65" t="s">
        <v>5</v>
      </c>
      <c r="B27" s="85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141">
        <f t="shared" ref="N27:N29" si="20">SUM(B27:M27)</f>
        <v>0</v>
      </c>
      <c r="O27" s="84">
        <f>N27/$N$31</f>
        <v>0</v>
      </c>
    </row>
    <row r="28" spans="1:28" s="67" customFormat="1">
      <c r="A28" s="66" t="s">
        <v>8</v>
      </c>
      <c r="B28" s="86">
        <f t="shared" ref="B28:E29" si="21">($B67*I$59+$C67*I$63+$D67*I$67)*B93</f>
        <v>899270.93207949668</v>
      </c>
      <c r="C28" s="86">
        <f t="shared" si="21"/>
        <v>-635276.09384849807</v>
      </c>
      <c r="D28" s="86">
        <f t="shared" si="21"/>
        <v>39625.47607474916</v>
      </c>
      <c r="E28" s="86">
        <f t="shared" si="21"/>
        <v>563474.32380550075</v>
      </c>
      <c r="F28" s="86">
        <f>($B67*M$59+$C67*M$63+$D67*M$67+E67*M71+F67*M75)*F93</f>
        <v>25471.663389751466</v>
      </c>
      <c r="G28" s="86">
        <f t="shared" ref="G28:J29" si="22">($E67*N$71+$F67*N$75)*G93</f>
        <v>-336371.14041125012</v>
      </c>
      <c r="H28" s="86">
        <f t="shared" si="22"/>
        <v>-78170.455971999763</v>
      </c>
      <c r="I28" s="86">
        <f t="shared" si="22"/>
        <v>-49295.287119750799</v>
      </c>
      <c r="J28" s="86">
        <f t="shared" si="22"/>
        <v>11305.290032749934</v>
      </c>
      <c r="K28" s="86">
        <f t="shared" ref="K28:M29" si="23">($B67*R$59+$C67*R$63+$D67*R$67)*K93</f>
        <v>-143544.81804649765</v>
      </c>
      <c r="L28" s="86">
        <f t="shared" si="23"/>
        <v>600521.46176199522</v>
      </c>
      <c r="M28" s="86">
        <f t="shared" si="23"/>
        <v>-1519846.4030312556</v>
      </c>
      <c r="N28" s="144">
        <f t="shared" si="20"/>
        <v>-622835.0512850089</v>
      </c>
      <c r="O28" s="84">
        <f>N28/$N$31</f>
        <v>5.0173574470827979E-3</v>
      </c>
    </row>
    <row r="29" spans="1:28">
      <c r="A29" s="145" t="s">
        <v>50</v>
      </c>
      <c r="B29" s="85">
        <f t="shared" si="21"/>
        <v>19293.575058333266</v>
      </c>
      <c r="C29" s="85">
        <f t="shared" si="21"/>
        <v>-17850.795422822139</v>
      </c>
      <c r="D29" s="85">
        <f t="shared" si="21"/>
        <v>-6254.1475842556019</v>
      </c>
      <c r="E29" s="85">
        <f t="shared" si="21"/>
        <v>25824.002586333365</v>
      </c>
      <c r="F29" s="85">
        <f>($B68*M$59+$C68*M$63+$D68*M$67+E68*M71+F68*M75)*F94</f>
        <v>-362.31237175548461</v>
      </c>
      <c r="G29" s="85">
        <f t="shared" si="22"/>
        <v>0</v>
      </c>
      <c r="H29" s="85">
        <f t="shared" si="22"/>
        <v>0</v>
      </c>
      <c r="I29" s="85">
        <f t="shared" si="22"/>
        <v>0</v>
      </c>
      <c r="J29" s="85">
        <f t="shared" si="22"/>
        <v>0</v>
      </c>
      <c r="K29" s="85">
        <f t="shared" si="23"/>
        <v>-7753.4023053109895</v>
      </c>
      <c r="L29" s="85">
        <f t="shared" si="23"/>
        <v>19337.065079377542</v>
      </c>
      <c r="M29" s="85">
        <f t="shared" si="23"/>
        <v>-36740.872375444545</v>
      </c>
      <c r="N29" s="141">
        <f t="shared" si="20"/>
        <v>-4506.8873355445867</v>
      </c>
      <c r="O29" s="84">
        <f>N29/$N$31</f>
        <v>3.6306024668175334E-5</v>
      </c>
    </row>
    <row r="30" spans="1:28">
      <c r="A30" s="59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143"/>
      <c r="O30" s="84"/>
    </row>
    <row r="31" spans="1:28" s="59" customFormat="1">
      <c r="A31" s="64" t="s">
        <v>20</v>
      </c>
      <c r="B31" s="93">
        <f t="shared" ref="B31:O31" si="24">SUM(B9,B13,B17,B21,B25,B27:B29)</f>
        <v>57667848.496356227</v>
      </c>
      <c r="C31" s="93">
        <f t="shared" si="24"/>
        <v>-45939114.305904761</v>
      </c>
      <c r="D31" s="93">
        <f t="shared" si="24"/>
        <v>-6114733.6748883631</v>
      </c>
      <c r="E31" s="93">
        <f t="shared" si="24"/>
        <v>52400637.548682079</v>
      </c>
      <c r="F31" s="93">
        <f t="shared" si="24"/>
        <v>7272119.337484045</v>
      </c>
      <c r="G31" s="93">
        <f t="shared" si="24"/>
        <v>-87256466.470051363</v>
      </c>
      <c r="H31" s="93">
        <f t="shared" si="24"/>
        <v>-20290244.285831429</v>
      </c>
      <c r="I31" s="93">
        <f t="shared" si="24"/>
        <v>-12811823.272415813</v>
      </c>
      <c r="J31" s="93">
        <f t="shared" si="24"/>
        <v>2941475.6206192328</v>
      </c>
      <c r="K31" s="93">
        <f t="shared" si="24"/>
        <v>-14839224.146317858</v>
      </c>
      <c r="L31" s="93">
        <f t="shared" si="24"/>
        <v>46817512.480626412</v>
      </c>
      <c r="M31" s="93">
        <f t="shared" si="24"/>
        <v>-103984060.52105847</v>
      </c>
      <c r="N31" s="146">
        <f t="shared" si="24"/>
        <v>-124136073.19270006</v>
      </c>
      <c r="O31" s="95">
        <f t="shared" si="24"/>
        <v>1</v>
      </c>
    </row>
    <row r="32" spans="1:28" s="59" customFormat="1">
      <c r="A32" s="64" t="s">
        <v>58</v>
      </c>
      <c r="B32" s="94">
        <f>IF('Actual Total Usage'!B30=0,0,B31/'Actual Total Usage'!B30)</f>
        <v>3.0104902064165308E-2</v>
      </c>
      <c r="C32" s="94">
        <f>IF('Actual Total Usage'!C30=0,0,C31/'Actual Total Usage'!C30)</f>
        <v>-2.3766638930175804E-2</v>
      </c>
      <c r="D32" s="94">
        <f>IF('Actual Total Usage'!D30=0,0,D31/'Actual Total Usage'!D30)</f>
        <v>-3.1546240430209071E-3</v>
      </c>
      <c r="E32" s="94">
        <f>IF('Actual Total Usage'!E30=0,0,E31/'Actual Total Usage'!E30)</f>
        <v>2.9791854169265233E-2</v>
      </c>
      <c r="F32" s="94">
        <f>IF('Actual Total Usage'!F30=0,0,F31/'Actual Total Usage'!F30)</f>
        <v>5.0437827556837874E-3</v>
      </c>
      <c r="G32" s="94">
        <f>IF('Actual Total Usage'!G30=0,0,G31/'Actual Total Usage'!G30)</f>
        <v>-5.8646786881277994E-2</v>
      </c>
      <c r="H32" s="94">
        <f>IF('Actual Total Usage'!H30=0,0,H31/'Actual Total Usage'!H30)</f>
        <v>-1.2804186221568826E-2</v>
      </c>
      <c r="I32" s="94">
        <f>IF('Actual Total Usage'!I30=0,0,I31/'Actual Total Usage'!I30)</f>
        <v>-8.5291812683675403E-3</v>
      </c>
      <c r="J32" s="94">
        <f>IF('Actual Total Usage'!J30=0,0,J31/'Actual Total Usage'!J30)</f>
        <v>2.0013391711087543E-3</v>
      </c>
      <c r="K32" s="94">
        <f>IF('Actual Total Usage'!K30=0,0,K31/'Actual Total Usage'!K30)</f>
        <v>-1.016814981777614E-2</v>
      </c>
      <c r="L32" s="94">
        <f>IF('Actual Total Usage'!L30=0,0,L31/'Actual Total Usage'!L30)</f>
        <v>2.7890445026725282E-2</v>
      </c>
      <c r="M32" s="94">
        <f>IF('Actual Total Usage'!M30=0,0,M31/'Actual Total Usage'!M30)</f>
        <v>-5.3283954946876849E-2</v>
      </c>
      <c r="N32" s="387">
        <f>N31/'Actual Total Usage'!N30</f>
        <v>-6.1693593479176471E-3</v>
      </c>
      <c r="O32" s="96"/>
    </row>
    <row r="33" spans="1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32"/>
      <c r="O33" s="84"/>
    </row>
    <row r="34" spans="1:15">
      <c r="N34" s="67"/>
    </row>
    <row r="35" spans="1:15">
      <c r="A35" s="43" t="s">
        <v>131</v>
      </c>
      <c r="N35" s="67"/>
      <c r="O35" s="72" t="s">
        <v>44</v>
      </c>
    </row>
    <row r="36" spans="1:15">
      <c r="A36" s="43" t="s">
        <v>74</v>
      </c>
      <c r="B36" s="39">
        <f t="shared" ref="B36:M36" si="25">B7</f>
        <v>44197</v>
      </c>
      <c r="C36" s="39">
        <f t="shared" si="25"/>
        <v>44228</v>
      </c>
      <c r="D36" s="39">
        <f t="shared" si="25"/>
        <v>44256</v>
      </c>
      <c r="E36" s="39">
        <f t="shared" si="25"/>
        <v>44287</v>
      </c>
      <c r="F36" s="39">
        <f t="shared" si="25"/>
        <v>44317</v>
      </c>
      <c r="G36" s="39">
        <f t="shared" si="25"/>
        <v>44348</v>
      </c>
      <c r="H36" s="39">
        <f t="shared" si="25"/>
        <v>44378</v>
      </c>
      <c r="I36" s="39">
        <f t="shared" si="25"/>
        <v>44409</v>
      </c>
      <c r="J36" s="39">
        <f t="shared" si="25"/>
        <v>44440</v>
      </c>
      <c r="K36" s="39">
        <f t="shared" si="25"/>
        <v>44470</v>
      </c>
      <c r="L36" s="39">
        <f t="shared" si="25"/>
        <v>44501</v>
      </c>
      <c r="M36" s="39">
        <f t="shared" si="25"/>
        <v>44531</v>
      </c>
      <c r="N36" s="388" t="s">
        <v>19</v>
      </c>
      <c r="O36" s="72" t="s">
        <v>45</v>
      </c>
    </row>
    <row r="37" spans="1:15">
      <c r="A37" s="58" t="s">
        <v>1</v>
      </c>
      <c r="B37" s="1">
        <f t="shared" ref="B37:M37" si="26">B8</f>
        <v>45614164.260993458</v>
      </c>
      <c r="C37" s="1">
        <f t="shared" si="26"/>
        <v>-37385074.195232525</v>
      </c>
      <c r="D37" s="1">
        <f t="shared" si="26"/>
        <v>-6647732.9893705752</v>
      </c>
      <c r="E37" s="1">
        <f t="shared" si="26"/>
        <v>45412078.227756083</v>
      </c>
      <c r="F37" s="1">
        <f t="shared" si="26"/>
        <v>4693367.7024600478</v>
      </c>
      <c r="G37" s="1">
        <f t="shared" si="26"/>
        <v>-59661394.269813351</v>
      </c>
      <c r="H37" s="1">
        <f t="shared" si="26"/>
        <v>-13868344.510532849</v>
      </c>
      <c r="I37" s="1">
        <f t="shared" si="26"/>
        <v>-8758668.1285466496</v>
      </c>
      <c r="J37" s="1">
        <f t="shared" si="26"/>
        <v>2011044.6902927521</v>
      </c>
      <c r="K37" s="1">
        <f t="shared" si="26"/>
        <v>-13080667.725057906</v>
      </c>
      <c r="L37" s="1">
        <f t="shared" si="26"/>
        <v>38687179.116253786</v>
      </c>
      <c r="M37" s="1">
        <f t="shared" si="26"/>
        <v>-83263005.960516825</v>
      </c>
      <c r="N37" s="389">
        <f>SUM(B37:M37)</f>
        <v>-86247053.781314552</v>
      </c>
      <c r="O37" s="115">
        <f t="shared" ref="O37:O48" si="27">N37/N$50</f>
        <v>0.6947783312545317</v>
      </c>
    </row>
    <row r="38" spans="1:15">
      <c r="A38" s="58" t="s">
        <v>35</v>
      </c>
      <c r="B38" s="1">
        <f t="shared" ref="B38:M38" si="28">B11</f>
        <v>806127.67926615954</v>
      </c>
      <c r="C38" s="1">
        <f t="shared" si="28"/>
        <v>-614714.79298263532</v>
      </c>
      <c r="D38" s="1">
        <f t="shared" si="28"/>
        <v>-40090.493349303128</v>
      </c>
      <c r="E38" s="1">
        <f t="shared" si="28"/>
        <v>653109.50169167574</v>
      </c>
      <c r="F38" s="1">
        <f t="shared" si="28"/>
        <v>57756.573347364334</v>
      </c>
      <c r="G38" s="1">
        <f t="shared" si="28"/>
        <v>-733432.9423971253</v>
      </c>
      <c r="H38" s="1">
        <f t="shared" si="28"/>
        <v>-170395.2796783995</v>
      </c>
      <c r="I38" s="1">
        <f t="shared" si="28"/>
        <v>-107526.63505447676</v>
      </c>
      <c r="J38" s="1">
        <f t="shared" si="28"/>
        <v>24676.746638249857</v>
      </c>
      <c r="K38" s="1">
        <f t="shared" si="28"/>
        <v>-179679.68892279296</v>
      </c>
      <c r="L38" s="1">
        <f t="shared" si="28"/>
        <v>611298.85264802747</v>
      </c>
      <c r="M38" s="1">
        <f t="shared" si="28"/>
        <v>-1423963.900494359</v>
      </c>
      <c r="N38" s="389">
        <f>SUM(B38:M38)</f>
        <v>-1116834.379287615</v>
      </c>
      <c r="O38" s="115">
        <f t="shared" si="27"/>
        <v>8.99685603518262E-3</v>
      </c>
    </row>
    <row r="39" spans="1:15">
      <c r="A39" s="58" t="s">
        <v>116</v>
      </c>
      <c r="B39" s="1">
        <f t="shared" ref="B39:M39" si="29">B12</f>
        <v>5185193.909668616</v>
      </c>
      <c r="C39" s="1">
        <f t="shared" si="29"/>
        <v>-3660803.8910330408</v>
      </c>
      <c r="D39" s="1">
        <f t="shared" si="29"/>
        <v>248339.62717996998</v>
      </c>
      <c r="E39" s="1">
        <f t="shared" si="29"/>
        <v>3231412.8204676262</v>
      </c>
      <c r="F39" s="1">
        <f t="shared" si="29"/>
        <v>885554.50952267647</v>
      </c>
      <c r="G39" s="1">
        <f t="shared" si="29"/>
        <v>-10342146.725844184</v>
      </c>
      <c r="H39" s="1">
        <f t="shared" si="29"/>
        <v>-2407560.4338275483</v>
      </c>
      <c r="I39" s="1">
        <f t="shared" si="29"/>
        <v>-1519414.3887460164</v>
      </c>
      <c r="J39" s="1">
        <f t="shared" si="29"/>
        <v>348625.9496847702</v>
      </c>
      <c r="K39" s="1">
        <f t="shared" si="29"/>
        <v>-824830.78333693673</v>
      </c>
      <c r="L39" s="1">
        <f t="shared" si="29"/>
        <v>3483204.2884596721</v>
      </c>
      <c r="M39" s="1">
        <f t="shared" si="29"/>
        <v>-8903974.4636332821</v>
      </c>
      <c r="N39" s="389">
        <f t="shared" ref="N39:N48" si="30">SUM(B39:M39)</f>
        <v>-14276399.581437679</v>
      </c>
      <c r="O39" s="115">
        <f t="shared" si="27"/>
        <v>0.11500605113612709</v>
      </c>
    </row>
    <row r="40" spans="1:15">
      <c r="A40" s="58" t="s">
        <v>36</v>
      </c>
      <c r="B40" s="1">
        <f t="shared" ref="B40:M40" si="31">B15</f>
        <v>346243.91727289313</v>
      </c>
      <c r="C40" s="1">
        <f t="shared" si="31"/>
        <v>-240798.2631979493</v>
      </c>
      <c r="D40" s="1">
        <f t="shared" si="31"/>
        <v>25689.246287856651</v>
      </c>
      <c r="E40" s="1">
        <f t="shared" si="31"/>
        <v>198368.90799916413</v>
      </c>
      <c r="F40" s="1">
        <f t="shared" si="31"/>
        <v>38731.229311439456</v>
      </c>
      <c r="G40" s="1">
        <f t="shared" si="31"/>
        <v>-454255.11589270848</v>
      </c>
      <c r="H40" s="1">
        <f t="shared" si="31"/>
        <v>-103868.72057999969</v>
      </c>
      <c r="I40" s="1">
        <f t="shared" si="31"/>
        <v>-65929.051457501075</v>
      </c>
      <c r="J40" s="1">
        <f t="shared" si="31"/>
        <v>15070.955739791578</v>
      </c>
      <c r="K40" s="1">
        <f t="shared" si="31"/>
        <v>-47889.588103960334</v>
      </c>
      <c r="L40" s="1">
        <f t="shared" si="31"/>
        <v>220463.30510026502</v>
      </c>
      <c r="M40" s="1">
        <f t="shared" si="31"/>
        <v>-577940.24043739098</v>
      </c>
      <c r="N40" s="389">
        <f t="shared" si="30"/>
        <v>-646113.41795809986</v>
      </c>
      <c r="O40" s="115">
        <f t="shared" si="27"/>
        <v>5.2048804295196215E-3</v>
      </c>
    </row>
    <row r="41" spans="1:15">
      <c r="A41" s="58" t="s">
        <v>109</v>
      </c>
      <c r="B41" s="1">
        <f t="shared" ref="B41:M41" si="32">B16</f>
        <v>3783103.3367011021</v>
      </c>
      <c r="C41" s="1">
        <f t="shared" si="32"/>
        <v>-2407924.688766106</v>
      </c>
      <c r="D41" s="1">
        <f t="shared" si="32"/>
        <v>623741.03417531482</v>
      </c>
      <c r="E41" s="1">
        <f t="shared" si="32"/>
        <v>1497066.3016000974</v>
      </c>
      <c r="F41" s="1">
        <f t="shared" si="32"/>
        <v>803192.6207297272</v>
      </c>
      <c r="G41" s="1">
        <f t="shared" si="32"/>
        <v>-9144238.4512034412</v>
      </c>
      <c r="H41" s="1">
        <f t="shared" si="32"/>
        <v>-2129514.5936675267</v>
      </c>
      <c r="I41" s="1">
        <f t="shared" si="32"/>
        <v>-1344303.2342377345</v>
      </c>
      <c r="J41" s="1">
        <f t="shared" si="32"/>
        <v>308662.29868094821</v>
      </c>
      <c r="K41" s="1">
        <f t="shared" si="32"/>
        <v>-308056.01453309465</v>
      </c>
      <c r="L41" s="1">
        <f t="shared" si="32"/>
        <v>2138458.7530648992</v>
      </c>
      <c r="M41" s="1">
        <f t="shared" si="32"/>
        <v>-6269227.2056696769</v>
      </c>
      <c r="N41" s="389">
        <f t="shared" si="30"/>
        <v>-12449039.84312549</v>
      </c>
      <c r="O41" s="115">
        <f t="shared" si="27"/>
        <v>0.10028543293616579</v>
      </c>
    </row>
    <row r="42" spans="1:15">
      <c r="A42" s="58" t="s">
        <v>37</v>
      </c>
      <c r="B42" s="1">
        <f t="shared" ref="B42:M42" si="33">B19</f>
        <v>70359.088419333071</v>
      </c>
      <c r="C42" s="1">
        <f t="shared" si="33"/>
        <v>-52448.577946666497</v>
      </c>
      <c r="D42" s="1">
        <f t="shared" si="33"/>
        <v>-1518.7351360000839</v>
      </c>
      <c r="E42" s="1">
        <f t="shared" si="33"/>
        <v>53016.361537333403</v>
      </c>
      <c r="F42" s="1">
        <f t="shared" si="33"/>
        <v>4646.0344471668132</v>
      </c>
      <c r="G42" s="1">
        <f t="shared" si="33"/>
        <v>-58554.81176583335</v>
      </c>
      <c r="H42" s="1">
        <f t="shared" si="33"/>
        <v>-13607.755794666627</v>
      </c>
      <c r="I42" s="1">
        <f t="shared" si="33"/>
        <v>-8581.22446150014</v>
      </c>
      <c r="J42" s="1">
        <f t="shared" si="33"/>
        <v>1968.0021568333218</v>
      </c>
      <c r="K42" s="1">
        <f t="shared" si="33"/>
        <v>-14269.686065999771</v>
      </c>
      <c r="L42" s="1">
        <f t="shared" si="33"/>
        <v>51180.508674666213</v>
      </c>
      <c r="M42" s="1">
        <f t="shared" si="33"/>
        <v>-122274.08382000044</v>
      </c>
      <c r="N42" s="389">
        <f t="shared" si="30"/>
        <v>-90084.879755334085</v>
      </c>
      <c r="O42" s="115">
        <f t="shared" si="27"/>
        <v>7.2569461429227496E-4</v>
      </c>
    </row>
    <row r="43" spans="1:15">
      <c r="A43" s="58" t="s">
        <v>110</v>
      </c>
      <c r="B43" s="1">
        <f t="shared" ref="B43:M43" si="34">B20</f>
        <v>483756.57189999998</v>
      </c>
      <c r="C43" s="1">
        <f t="shared" si="34"/>
        <v>-482476.21742754843</v>
      </c>
      <c r="D43" s="1">
        <f t="shared" si="34"/>
        <v>-194259.6001120802</v>
      </c>
      <c r="E43" s="1">
        <f t="shared" si="34"/>
        <v>388346.00607133628</v>
      </c>
      <c r="F43" s="1">
        <f t="shared" si="34"/>
        <v>524349.57475579251</v>
      </c>
      <c r="G43" s="1">
        <f t="shared" si="34"/>
        <v>-4753589.3345100014</v>
      </c>
      <c r="H43" s="1">
        <f t="shared" si="34"/>
        <v>-1106056.9153779966</v>
      </c>
      <c r="I43" s="1">
        <f t="shared" si="34"/>
        <v>-698347.33128976123</v>
      </c>
      <c r="J43" s="1">
        <f t="shared" si="34"/>
        <v>160549.26974749906</v>
      </c>
      <c r="K43" s="1">
        <f t="shared" si="34"/>
        <v>-118294.44758444498</v>
      </c>
      <c r="L43" s="1">
        <f t="shared" si="34"/>
        <v>526357.80394108023</v>
      </c>
      <c r="M43" s="1">
        <f t="shared" si="34"/>
        <v>-965607.18997244537</v>
      </c>
      <c r="N43" s="389">
        <f t="shared" si="30"/>
        <v>-6235271.8098585699</v>
      </c>
      <c r="O43" s="115">
        <f t="shared" si="27"/>
        <v>5.0229330197833592E-2</v>
      </c>
    </row>
    <row r="44" spans="1:15">
      <c r="A44" s="58" t="s">
        <v>38</v>
      </c>
      <c r="B44" s="1">
        <f t="shared" ref="B44:M44" si="35">B23</f>
        <v>76577.307028083073</v>
      </c>
      <c r="C44" s="1">
        <f t="shared" si="35"/>
        <v>-61421.880291416441</v>
      </c>
      <c r="D44" s="1">
        <f t="shared" si="35"/>
        <v>-8953.8996998751209</v>
      </c>
      <c r="E44" s="1">
        <f t="shared" si="35"/>
        <v>71816.866908583426</v>
      </c>
      <c r="F44" s="1">
        <f t="shared" si="35"/>
        <v>8779.2827951113195</v>
      </c>
      <c r="G44" s="1">
        <f t="shared" si="35"/>
        <v>-109323.18243347226</v>
      </c>
      <c r="H44" s="1">
        <f t="shared" si="35"/>
        <v>-25405.99353644437</v>
      </c>
      <c r="I44" s="1">
        <f t="shared" si="35"/>
        <v>-16021.343746416926</v>
      </c>
      <c r="J44" s="1">
        <f t="shared" si="35"/>
        <v>3674.305361638867</v>
      </c>
      <c r="K44" s="1">
        <f t="shared" si="35"/>
        <v>-20333.87469424968</v>
      </c>
      <c r="L44" s="1">
        <f t="shared" si="35"/>
        <v>62335.438355666032</v>
      </c>
      <c r="M44" s="1">
        <f t="shared" si="35"/>
        <v>-137096.80209875046</v>
      </c>
      <c r="N44" s="389">
        <f t="shared" si="30"/>
        <v>-155373.77605154255</v>
      </c>
      <c r="O44" s="115">
        <f t="shared" si="27"/>
        <v>1.2516408168506449E-3</v>
      </c>
    </row>
    <row r="45" spans="1:15">
      <c r="A45" s="58" t="s">
        <v>6</v>
      </c>
      <c r="B45" s="1">
        <f t="shared" ref="B45:M45" si="36">B24</f>
        <v>383757.91796875</v>
      </c>
      <c r="C45" s="1">
        <f t="shared" si="36"/>
        <v>-380324.90975554998</v>
      </c>
      <c r="D45" s="1">
        <f t="shared" si="36"/>
        <v>-153319.19335416419</v>
      </c>
      <c r="E45" s="1">
        <f t="shared" si="36"/>
        <v>306124.22825833573</v>
      </c>
      <c r="F45" s="1">
        <f t="shared" si="36"/>
        <v>230632.45909672254</v>
      </c>
      <c r="G45" s="1">
        <f t="shared" si="36"/>
        <v>-1663160.4957800005</v>
      </c>
      <c r="H45" s="1">
        <f t="shared" si="36"/>
        <v>-387319.62686399877</v>
      </c>
      <c r="I45" s="1">
        <f t="shared" si="36"/>
        <v>-243736.64775600395</v>
      </c>
      <c r="J45" s="1">
        <f t="shared" si="36"/>
        <v>55898.112283999668</v>
      </c>
      <c r="K45" s="1">
        <f t="shared" si="36"/>
        <v>-93904.117666667094</v>
      </c>
      <c r="L45" s="1">
        <f t="shared" si="36"/>
        <v>417175.88728697679</v>
      </c>
      <c r="M45" s="1">
        <f t="shared" si="36"/>
        <v>-764383.39900902868</v>
      </c>
      <c r="N45" s="389">
        <f t="shared" si="30"/>
        <v>-2292559.7852906287</v>
      </c>
      <c r="O45" s="115">
        <f t="shared" si="27"/>
        <v>1.8468119107745748E-2</v>
      </c>
    </row>
    <row r="46" spans="1:15">
      <c r="A46" s="64" t="s">
        <v>5</v>
      </c>
      <c r="B46" s="1">
        <f t="shared" ref="B46:M46" si="37">B27</f>
        <v>0</v>
      </c>
      <c r="C46" s="1">
        <f t="shared" si="37"/>
        <v>0</v>
      </c>
      <c r="D46" s="1">
        <f t="shared" si="37"/>
        <v>0</v>
      </c>
      <c r="E46" s="1">
        <f t="shared" si="37"/>
        <v>0</v>
      </c>
      <c r="F46" s="1">
        <f t="shared" si="37"/>
        <v>0</v>
      </c>
      <c r="G46" s="1">
        <f t="shared" si="37"/>
        <v>0</v>
      </c>
      <c r="H46" s="1">
        <f t="shared" si="37"/>
        <v>0</v>
      </c>
      <c r="I46" s="1">
        <f t="shared" si="37"/>
        <v>0</v>
      </c>
      <c r="J46" s="1">
        <f t="shared" si="37"/>
        <v>0</v>
      </c>
      <c r="K46" s="1">
        <f t="shared" si="37"/>
        <v>0</v>
      </c>
      <c r="L46" s="1">
        <f t="shared" si="37"/>
        <v>0</v>
      </c>
      <c r="M46" s="1">
        <f t="shared" si="37"/>
        <v>0</v>
      </c>
      <c r="N46" s="389">
        <f>SUM(B46:M46)</f>
        <v>0</v>
      </c>
      <c r="O46" s="115">
        <f t="shared" si="27"/>
        <v>0</v>
      </c>
    </row>
    <row r="47" spans="1:15" s="67" customFormat="1">
      <c r="A47" s="70" t="s">
        <v>8</v>
      </c>
      <c r="B47" s="1">
        <f t="shared" ref="B47:M47" si="38">B28</f>
        <v>899270.93207949668</v>
      </c>
      <c r="C47" s="1">
        <f t="shared" si="38"/>
        <v>-635276.09384849807</v>
      </c>
      <c r="D47" s="1">
        <f t="shared" si="38"/>
        <v>39625.47607474916</v>
      </c>
      <c r="E47" s="1">
        <f t="shared" si="38"/>
        <v>563474.32380550075</v>
      </c>
      <c r="F47" s="1">
        <f t="shared" si="38"/>
        <v>25471.663389751466</v>
      </c>
      <c r="G47" s="1">
        <f t="shared" si="38"/>
        <v>-336371.14041125012</v>
      </c>
      <c r="H47" s="1">
        <f t="shared" si="38"/>
        <v>-78170.455971999763</v>
      </c>
      <c r="I47" s="1">
        <f t="shared" si="38"/>
        <v>-49295.287119750799</v>
      </c>
      <c r="J47" s="1">
        <f t="shared" si="38"/>
        <v>11305.290032749934</v>
      </c>
      <c r="K47" s="1">
        <f t="shared" si="38"/>
        <v>-143544.81804649765</v>
      </c>
      <c r="L47" s="1">
        <f t="shared" si="38"/>
        <v>600521.46176199522</v>
      </c>
      <c r="M47" s="1">
        <f t="shared" si="38"/>
        <v>-1519846.4030312556</v>
      </c>
      <c r="N47" s="389">
        <f t="shared" si="30"/>
        <v>-622835.0512850089</v>
      </c>
      <c r="O47" s="115">
        <f t="shared" si="27"/>
        <v>5.0173574470827979E-3</v>
      </c>
    </row>
    <row r="48" spans="1:15">
      <c r="A48" s="58" t="s">
        <v>50</v>
      </c>
      <c r="B48" s="1">
        <f t="shared" ref="B48:M48" si="39">B29</f>
        <v>19293.575058333266</v>
      </c>
      <c r="C48" s="1">
        <f t="shared" si="39"/>
        <v>-17850.795422822139</v>
      </c>
      <c r="D48" s="1">
        <f t="shared" si="39"/>
        <v>-6254.1475842556019</v>
      </c>
      <c r="E48" s="1">
        <f t="shared" si="39"/>
        <v>25824.002586333365</v>
      </c>
      <c r="F48" s="1">
        <f t="shared" si="39"/>
        <v>-362.31237175548461</v>
      </c>
      <c r="G48" s="1">
        <f t="shared" si="39"/>
        <v>0</v>
      </c>
      <c r="H48" s="1">
        <f t="shared" si="39"/>
        <v>0</v>
      </c>
      <c r="I48" s="1">
        <f t="shared" si="39"/>
        <v>0</v>
      </c>
      <c r="J48" s="1">
        <f t="shared" si="39"/>
        <v>0</v>
      </c>
      <c r="K48" s="1">
        <f t="shared" si="39"/>
        <v>-7753.4023053109895</v>
      </c>
      <c r="L48" s="1">
        <f t="shared" si="39"/>
        <v>19337.065079377542</v>
      </c>
      <c r="M48" s="1">
        <f t="shared" si="39"/>
        <v>-36740.872375444545</v>
      </c>
      <c r="N48" s="389">
        <f t="shared" si="30"/>
        <v>-4506.8873355445867</v>
      </c>
      <c r="O48" s="115">
        <f t="shared" si="27"/>
        <v>3.6306024668175334E-5</v>
      </c>
    </row>
    <row r="49" spans="1:20">
      <c r="A49" s="5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89"/>
      <c r="O49" s="115"/>
    </row>
    <row r="50" spans="1:20" s="59" customFormat="1">
      <c r="A50" s="64" t="s">
        <v>20</v>
      </c>
      <c r="B50" s="60">
        <f t="shared" ref="B50:O50" si="40">SUM(B37:B48)</f>
        <v>57667848.496356234</v>
      </c>
      <c r="C50" s="60">
        <f t="shared" si="40"/>
        <v>-45939114.305904761</v>
      </c>
      <c r="D50" s="60">
        <f t="shared" si="40"/>
        <v>-6114733.674888364</v>
      </c>
      <c r="E50" s="60">
        <f t="shared" si="40"/>
        <v>52400637.548682071</v>
      </c>
      <c r="F50" s="60">
        <f t="shared" si="40"/>
        <v>7272119.337484045</v>
      </c>
      <c r="G50" s="60">
        <f t="shared" si="40"/>
        <v>-87256466.470051363</v>
      </c>
      <c r="H50" s="60">
        <f t="shared" si="40"/>
        <v>-20290244.285831425</v>
      </c>
      <c r="I50" s="60">
        <f t="shared" si="40"/>
        <v>-12811823.272415809</v>
      </c>
      <c r="J50" s="60">
        <f t="shared" si="40"/>
        <v>2941475.6206192323</v>
      </c>
      <c r="K50" s="60">
        <f t="shared" si="40"/>
        <v>-14839224.146317862</v>
      </c>
      <c r="L50" s="60">
        <f t="shared" si="40"/>
        <v>46817512.480626412</v>
      </c>
      <c r="M50" s="60">
        <f t="shared" si="40"/>
        <v>-103984060.52105846</v>
      </c>
      <c r="N50" s="390">
        <f t="shared" si="40"/>
        <v>-124136073.19270006</v>
      </c>
      <c r="O50" s="115">
        <f t="shared" si="40"/>
        <v>1</v>
      </c>
    </row>
    <row r="51" spans="1:20">
      <c r="N51" s="67"/>
    </row>
    <row r="52" spans="1:20">
      <c r="A52" s="64" t="s">
        <v>43</v>
      </c>
      <c r="B52" s="1">
        <f t="shared" ref="B52:O52" si="41">B31-B50</f>
        <v>0</v>
      </c>
      <c r="C52" s="1">
        <f t="shared" si="41"/>
        <v>0</v>
      </c>
      <c r="D52" s="1">
        <f t="shared" si="41"/>
        <v>0</v>
      </c>
      <c r="E52" s="1">
        <f t="shared" si="41"/>
        <v>0</v>
      </c>
      <c r="F52" s="1">
        <f t="shared" si="41"/>
        <v>0</v>
      </c>
      <c r="G52" s="1">
        <f t="shared" si="41"/>
        <v>0</v>
      </c>
      <c r="H52" s="1">
        <f t="shared" si="41"/>
        <v>0</v>
      </c>
      <c r="I52" s="1">
        <f t="shared" si="41"/>
        <v>0</v>
      </c>
      <c r="J52" s="1">
        <f t="shared" si="41"/>
        <v>0</v>
      </c>
      <c r="K52" s="1">
        <f t="shared" si="41"/>
        <v>0</v>
      </c>
      <c r="L52" s="1">
        <f t="shared" si="41"/>
        <v>0</v>
      </c>
      <c r="M52" s="1">
        <f t="shared" si="41"/>
        <v>0</v>
      </c>
      <c r="N52" s="389">
        <f t="shared" si="41"/>
        <v>0</v>
      </c>
      <c r="O52" s="1">
        <f t="shared" si="41"/>
        <v>0</v>
      </c>
    </row>
    <row r="53" spans="1:20">
      <c r="N53" s="67"/>
    </row>
    <row r="54" spans="1:20" ht="15.6">
      <c r="A54" s="102" t="s">
        <v>135</v>
      </c>
      <c r="H54" s="102" t="s">
        <v>75</v>
      </c>
      <c r="N54" s="67"/>
      <c r="O54"/>
      <c r="P54" s="71"/>
    </row>
    <row r="55" spans="1:20">
      <c r="A55" s="90" t="s">
        <v>74</v>
      </c>
      <c r="B55" s="92" t="s">
        <v>54</v>
      </c>
      <c r="C55" s="92" t="s">
        <v>120</v>
      </c>
      <c r="D55" s="92" t="s">
        <v>55</v>
      </c>
      <c r="E55" s="92" t="s">
        <v>56</v>
      </c>
      <c r="F55" s="92" t="s">
        <v>57</v>
      </c>
      <c r="N55" s="67"/>
      <c r="O55"/>
      <c r="P55" s="71"/>
    </row>
    <row r="56" spans="1:20">
      <c r="A56" s="104" t="s">
        <v>111</v>
      </c>
      <c r="B56" s="200">
        <v>0.474605</v>
      </c>
      <c r="C56" s="201"/>
      <c r="D56" s="200">
        <v>0.26729999999999998</v>
      </c>
      <c r="E56" s="202"/>
      <c r="F56" s="200">
        <v>0.400399</v>
      </c>
      <c r="I56" s="39">
        <f t="shared" ref="I56:T56" si="42">B7</f>
        <v>44197</v>
      </c>
      <c r="J56" s="39">
        <f t="shared" si="42"/>
        <v>44228</v>
      </c>
      <c r="K56" s="39">
        <f t="shared" si="42"/>
        <v>44256</v>
      </c>
      <c r="L56" s="39">
        <f t="shared" si="42"/>
        <v>44287</v>
      </c>
      <c r="M56" s="39">
        <f t="shared" si="42"/>
        <v>44317</v>
      </c>
      <c r="N56" s="391">
        <f t="shared" si="42"/>
        <v>44348</v>
      </c>
      <c r="O56" s="39">
        <f t="shared" si="42"/>
        <v>44378</v>
      </c>
      <c r="P56" s="39">
        <f t="shared" si="42"/>
        <v>44409</v>
      </c>
      <c r="Q56" s="39">
        <f t="shared" si="42"/>
        <v>44440</v>
      </c>
      <c r="R56" s="39">
        <f t="shared" si="42"/>
        <v>44470</v>
      </c>
      <c r="S56" s="39">
        <f t="shared" si="42"/>
        <v>44501</v>
      </c>
      <c r="T56" s="39">
        <f t="shared" si="42"/>
        <v>44531</v>
      </c>
    </row>
    <row r="57" spans="1:20">
      <c r="A57" s="104" t="s">
        <v>35</v>
      </c>
      <c r="B57" s="200">
        <v>0.22734299999999999</v>
      </c>
      <c r="C57" s="203"/>
      <c r="D57" s="200">
        <v>0.212418</v>
      </c>
      <c r="E57" s="200"/>
      <c r="F57" s="200">
        <v>0.16794600000000001</v>
      </c>
      <c r="H57" s="9" t="s">
        <v>77</v>
      </c>
      <c r="I57" s="110">
        <v>711.85138888888901</v>
      </c>
      <c r="J57" s="110">
        <v>615.21249999999998</v>
      </c>
      <c r="K57" s="110">
        <v>589.43819444444398</v>
      </c>
      <c r="L57" s="110">
        <v>449.71805555555602</v>
      </c>
      <c r="M57" s="110">
        <v>283.27361111111099</v>
      </c>
      <c r="N57" s="110">
        <v>158.07499999999999</v>
      </c>
      <c r="O57" s="110">
        <v>54.019444444444503</v>
      </c>
      <c r="P57" s="110">
        <v>44.426388888888901</v>
      </c>
      <c r="Q57" s="110">
        <v>134.64444444444399</v>
      </c>
      <c r="R57" s="110">
        <v>386.39305555555597</v>
      </c>
      <c r="S57" s="110">
        <v>580.98055555555504</v>
      </c>
      <c r="T57" s="110">
        <v>734.99305555555497</v>
      </c>
    </row>
    <row r="58" spans="1:20">
      <c r="A58" s="104" t="s">
        <v>114</v>
      </c>
      <c r="B58" s="200">
        <v>0.35401100000000002</v>
      </c>
      <c r="C58" s="203"/>
      <c r="D58" s="200">
        <v>0.55901000000000001</v>
      </c>
      <c r="E58" s="200"/>
      <c r="F58" s="200">
        <v>0.77624599999999999</v>
      </c>
      <c r="H58" s="18" t="s">
        <v>78</v>
      </c>
      <c r="I58" s="112">
        <v>656.29166666666697</v>
      </c>
      <c r="J58" s="112">
        <v>670.70833333333303</v>
      </c>
      <c r="K58" s="112">
        <v>614.33333333333303</v>
      </c>
      <c r="L58" s="112">
        <v>362.04166666666703</v>
      </c>
      <c r="M58" s="112">
        <v>284.58333333333297</v>
      </c>
      <c r="N58" s="112">
        <v>99.9583333333334</v>
      </c>
      <c r="O58" s="112">
        <v>24</v>
      </c>
      <c r="P58" s="113">
        <v>47.75</v>
      </c>
      <c r="Q58" s="112">
        <v>131.666666666667</v>
      </c>
      <c r="R58" s="112">
        <v>413.25</v>
      </c>
      <c r="S58" s="112">
        <v>519.04166666666697</v>
      </c>
      <c r="T58" s="112">
        <v>844.58333333333303</v>
      </c>
    </row>
    <row r="59" spans="1:20">
      <c r="A59" s="104" t="s">
        <v>36</v>
      </c>
      <c r="B59" s="200">
        <v>6.4168479999999999</v>
      </c>
      <c r="C59" s="203"/>
      <c r="D59" s="200">
        <v>11.791829999999999</v>
      </c>
      <c r="E59" s="200"/>
      <c r="F59" s="200">
        <v>10.31385</v>
      </c>
      <c r="H59" s="9" t="s">
        <v>76</v>
      </c>
      <c r="I59" s="110">
        <f>I57-I58</f>
        <v>55.559722222222035</v>
      </c>
      <c r="J59" s="110">
        <f t="shared" ref="J59:T59" si="43">J57-J58</f>
        <v>-55.495833333333053</v>
      </c>
      <c r="K59" s="110">
        <f t="shared" si="43"/>
        <v>-24.895138888889051</v>
      </c>
      <c r="L59" s="110">
        <f t="shared" si="43"/>
        <v>87.676388888888994</v>
      </c>
      <c r="M59" s="110">
        <f t="shared" si="43"/>
        <v>-1.3097222222219784</v>
      </c>
      <c r="N59" s="110">
        <f t="shared" si="43"/>
        <v>58.116666666666589</v>
      </c>
      <c r="O59" s="110">
        <f t="shared" si="43"/>
        <v>30.019444444444503</v>
      </c>
      <c r="P59" s="110">
        <f t="shared" si="43"/>
        <v>-3.3236111111110986</v>
      </c>
      <c r="Q59" s="110">
        <f t="shared" si="43"/>
        <v>2.9777777777769927</v>
      </c>
      <c r="R59" s="110">
        <f t="shared" si="43"/>
        <v>-26.856944444444025</v>
      </c>
      <c r="S59" s="110">
        <f t="shared" si="43"/>
        <v>61.938888888888073</v>
      </c>
      <c r="T59" s="110">
        <f t="shared" si="43"/>
        <v>-109.59027777777806</v>
      </c>
    </row>
    <row r="60" spans="1:20">
      <c r="A60" s="104" t="s">
        <v>3</v>
      </c>
      <c r="B60" s="200">
        <v>1.8159639999999999</v>
      </c>
      <c r="C60" s="200"/>
      <c r="D60" s="200">
        <v>6.2022529999999998</v>
      </c>
      <c r="E60" s="200"/>
      <c r="F60" s="200">
        <v>8.4570690000000006</v>
      </c>
      <c r="I60" s="42"/>
      <c r="J60" s="42"/>
      <c r="K60" s="42"/>
      <c r="L60" s="42"/>
      <c r="M60" s="42"/>
      <c r="N60" s="42"/>
      <c r="O60" s="42"/>
      <c r="P60" s="109"/>
      <c r="Q60" s="42"/>
      <c r="R60" s="42"/>
      <c r="S60" s="42"/>
      <c r="T60" s="42"/>
    </row>
    <row r="61" spans="1:20">
      <c r="A61" s="104" t="s">
        <v>37</v>
      </c>
      <c r="B61" s="200">
        <v>46.896520000000002</v>
      </c>
      <c r="C61" s="203"/>
      <c r="D61" s="200">
        <v>50.758360000000003</v>
      </c>
      <c r="E61" s="200"/>
      <c r="F61" s="200">
        <v>34.455829999999999</v>
      </c>
      <c r="H61" s="59" t="s">
        <v>121</v>
      </c>
      <c r="I61" s="110">
        <v>401.91666666666703</v>
      </c>
      <c r="J61" s="110">
        <v>335.23055555555601</v>
      </c>
      <c r="K61" s="110">
        <v>281.96875</v>
      </c>
      <c r="L61" s="110">
        <v>164.98750000000001</v>
      </c>
      <c r="M61" s="110">
        <v>52.147222222222197</v>
      </c>
      <c r="N61" s="110">
        <v>6.8902777777777802</v>
      </c>
      <c r="O61" s="110">
        <v>0.11944444444444501</v>
      </c>
      <c r="P61" s="110">
        <v>0</v>
      </c>
      <c r="Q61" s="110">
        <v>3.9555555555555602</v>
      </c>
      <c r="R61" s="110">
        <v>99.780555555555495</v>
      </c>
      <c r="S61" s="110">
        <v>282.839583333333</v>
      </c>
      <c r="T61" s="110">
        <v>425.16944444444403</v>
      </c>
    </row>
    <row r="62" spans="1:20">
      <c r="A62" s="104" t="s">
        <v>4</v>
      </c>
      <c r="B62" s="200"/>
      <c r="C62" s="203">
        <v>10.710279999999999</v>
      </c>
      <c r="D62" s="200"/>
      <c r="E62" s="200"/>
      <c r="F62" s="200">
        <v>41.135129999999997</v>
      </c>
      <c r="H62" s="183" t="s">
        <v>122</v>
      </c>
      <c r="I62" s="112">
        <v>346.29166666666703</v>
      </c>
      <c r="J62" s="112">
        <v>390.70833333333297</v>
      </c>
      <c r="K62" s="112">
        <v>304.33333333333297</v>
      </c>
      <c r="L62" s="112">
        <v>120.333333333333</v>
      </c>
      <c r="M62" s="112">
        <v>39.7083333333333</v>
      </c>
      <c r="N62" s="112">
        <v>7.0833333333333401</v>
      </c>
      <c r="O62" s="112">
        <v>0</v>
      </c>
      <c r="P62" s="113">
        <v>0</v>
      </c>
      <c r="Q62" s="112">
        <v>0.125</v>
      </c>
      <c r="R62" s="112">
        <v>113.25</v>
      </c>
      <c r="S62" s="112">
        <v>223.125</v>
      </c>
      <c r="T62" s="112">
        <v>534.58333333333303</v>
      </c>
    </row>
    <row r="63" spans="1:20">
      <c r="A63" s="104" t="s">
        <v>38</v>
      </c>
      <c r="B63" s="200">
        <v>60.283380000000001</v>
      </c>
      <c r="C63" s="203"/>
      <c r="D63" s="200">
        <v>39.595080000000003</v>
      </c>
      <c r="E63" s="200"/>
      <c r="F63" s="200">
        <v>59.38138</v>
      </c>
      <c r="H63" s="9" t="s">
        <v>76</v>
      </c>
      <c r="I63" s="110">
        <f>I61-I62</f>
        <v>55.625</v>
      </c>
      <c r="J63" s="110">
        <f t="shared" ref="J63:T63" si="44">J61-J62</f>
        <v>-55.477777777776964</v>
      </c>
      <c r="K63" s="110">
        <f t="shared" si="44"/>
        <v>-22.364583333332973</v>
      </c>
      <c r="L63" s="110">
        <f t="shared" si="44"/>
        <v>44.65416666666701</v>
      </c>
      <c r="M63" s="110">
        <f t="shared" si="44"/>
        <v>12.438888888888897</v>
      </c>
      <c r="N63" s="110">
        <f t="shared" si="44"/>
        <v>-0.19305555555555998</v>
      </c>
      <c r="O63" s="110">
        <f t="shared" si="44"/>
        <v>0.11944444444444501</v>
      </c>
      <c r="P63" s="110">
        <f t="shared" si="44"/>
        <v>0</v>
      </c>
      <c r="Q63" s="110">
        <f t="shared" si="44"/>
        <v>3.8305555555555602</v>
      </c>
      <c r="R63" s="110">
        <f t="shared" si="44"/>
        <v>-13.469444444444505</v>
      </c>
      <c r="S63" s="110">
        <f t="shared" si="44"/>
        <v>59.714583333332996</v>
      </c>
      <c r="T63" s="110">
        <f t="shared" si="44"/>
        <v>-109.41388888888901</v>
      </c>
    </row>
    <row r="64" spans="1:20">
      <c r="A64" s="104" t="s">
        <v>6</v>
      </c>
      <c r="B64" s="203"/>
      <c r="C64" s="203">
        <v>14.52425</v>
      </c>
      <c r="D64" s="203"/>
      <c r="E64" s="203"/>
      <c r="F64" s="203">
        <v>24.672239999999999</v>
      </c>
    </row>
    <row r="65" spans="1:20">
      <c r="A65" s="104" t="s">
        <v>5</v>
      </c>
      <c r="B65" s="203"/>
      <c r="C65" s="203"/>
      <c r="D65" s="203"/>
      <c r="E65" s="203"/>
      <c r="F65" s="203"/>
      <c r="H65" s="9" t="s">
        <v>79</v>
      </c>
      <c r="I65" s="110">
        <v>124.597222222222</v>
      </c>
      <c r="J65" s="110">
        <v>87.790277777777803</v>
      </c>
      <c r="K65" s="110">
        <v>42.965972222222199</v>
      </c>
      <c r="L65" s="110">
        <v>8.3680555555555607</v>
      </c>
      <c r="M65" s="110">
        <v>0.39305555555555499</v>
      </c>
      <c r="N65" s="110">
        <v>0</v>
      </c>
      <c r="O65" s="110">
        <v>0</v>
      </c>
      <c r="P65" s="111">
        <v>0</v>
      </c>
      <c r="Q65" s="110">
        <v>0</v>
      </c>
      <c r="R65" s="110">
        <v>3.0944444444444401</v>
      </c>
      <c r="S65" s="110">
        <v>54.383333333333297</v>
      </c>
      <c r="T65" s="110">
        <v>137.173611111111</v>
      </c>
    </row>
    <row r="66" spans="1:20">
      <c r="A66" s="104" t="s">
        <v>23</v>
      </c>
      <c r="B66" s="203"/>
      <c r="C66" s="203"/>
      <c r="D66" s="203"/>
      <c r="E66" s="203"/>
      <c r="F66" s="203"/>
      <c r="H66" s="18" t="s">
        <v>80</v>
      </c>
      <c r="I66" s="112">
        <v>60.4166666666667</v>
      </c>
      <c r="J66" s="112">
        <v>122.625</v>
      </c>
      <c r="K66" s="112">
        <v>22.4583333333333</v>
      </c>
      <c r="L66" s="112">
        <v>2.3333333333333299</v>
      </c>
      <c r="M66" s="112">
        <v>0</v>
      </c>
      <c r="N66" s="112">
        <v>0</v>
      </c>
      <c r="O66" s="112">
        <v>0</v>
      </c>
      <c r="P66" s="113">
        <v>0</v>
      </c>
      <c r="Q66" s="112">
        <v>0</v>
      </c>
      <c r="R66" s="112">
        <v>1.7083333333333399</v>
      </c>
      <c r="S66" s="112">
        <v>27.5833333333333</v>
      </c>
      <c r="T66" s="112">
        <v>236.666666666667</v>
      </c>
    </row>
    <row r="67" spans="1:20">
      <c r="A67" s="105" t="s">
        <v>8</v>
      </c>
      <c r="B67" s="203">
        <v>39.78378</v>
      </c>
      <c r="C67" s="203"/>
      <c r="D67" s="203">
        <v>61.529760000000003</v>
      </c>
      <c r="E67" s="203"/>
      <c r="F67" s="203">
        <v>16.26849</v>
      </c>
      <c r="H67" s="9" t="s">
        <v>76</v>
      </c>
      <c r="I67" s="110">
        <f>I65-I66</f>
        <v>64.180555555555301</v>
      </c>
      <c r="J67" s="110">
        <f t="shared" ref="J67:T67" si="45">J65-J66</f>
        <v>-34.834722222222197</v>
      </c>
      <c r="K67" s="110">
        <f t="shared" si="45"/>
        <v>20.507638888888899</v>
      </c>
      <c r="L67" s="110">
        <f t="shared" si="45"/>
        <v>6.0347222222222303</v>
      </c>
      <c r="M67" s="110">
        <f t="shared" si="45"/>
        <v>0.39305555555555499</v>
      </c>
      <c r="N67" s="110">
        <f t="shared" si="45"/>
        <v>0</v>
      </c>
      <c r="O67" s="110">
        <f t="shared" si="45"/>
        <v>0</v>
      </c>
      <c r="P67" s="110">
        <f t="shared" si="45"/>
        <v>0</v>
      </c>
      <c r="Q67" s="110">
        <f t="shared" si="45"/>
        <v>0</v>
      </c>
      <c r="R67" s="110">
        <f t="shared" si="45"/>
        <v>1.3861111111111002</v>
      </c>
      <c r="S67" s="110">
        <f t="shared" si="45"/>
        <v>26.799999999999997</v>
      </c>
      <c r="T67" s="110">
        <f t="shared" si="45"/>
        <v>-99.493055555555998</v>
      </c>
    </row>
    <row r="68" spans="1:20">
      <c r="A68" s="106" t="s">
        <v>50</v>
      </c>
      <c r="B68" s="199">
        <v>36.39967</v>
      </c>
      <c r="C68" s="199"/>
      <c r="D68" s="199">
        <v>6.066344</v>
      </c>
      <c r="E68" s="199"/>
      <c r="F68" s="199"/>
      <c r="I68" s="42"/>
      <c r="J68" s="42"/>
      <c r="K68" s="42"/>
      <c r="L68" s="42"/>
      <c r="M68" s="42"/>
      <c r="N68" s="42"/>
      <c r="O68" s="42"/>
      <c r="P68" s="109"/>
      <c r="Q68" s="42"/>
      <c r="R68" s="42"/>
      <c r="S68" s="42"/>
      <c r="T68" s="42"/>
    </row>
    <row r="69" spans="1:20">
      <c r="H69" s="9" t="s">
        <v>81</v>
      </c>
      <c r="I69" s="110">
        <v>0</v>
      </c>
      <c r="J69" s="110">
        <v>0</v>
      </c>
      <c r="K69" s="110">
        <v>0.18611111111111101</v>
      </c>
      <c r="L69" s="110">
        <v>0.66666666666666696</v>
      </c>
      <c r="M69" s="110">
        <v>7.8541666666666696</v>
      </c>
      <c r="N69" s="110">
        <v>26.112500000000001</v>
      </c>
      <c r="O69" s="110">
        <v>77.030555555555594</v>
      </c>
      <c r="P69" s="111">
        <v>71.6736111111111</v>
      </c>
      <c r="Q69" s="110">
        <v>18.0208333333333</v>
      </c>
      <c r="R69" s="110">
        <v>0</v>
      </c>
      <c r="S69" s="110">
        <v>0</v>
      </c>
      <c r="T69" s="110">
        <v>0</v>
      </c>
    </row>
    <row r="70" spans="1:20">
      <c r="H70" s="18" t="s">
        <v>82</v>
      </c>
      <c r="I70" s="112">
        <v>0</v>
      </c>
      <c r="J70" s="112">
        <v>0</v>
      </c>
      <c r="K70" s="112">
        <v>0</v>
      </c>
      <c r="L70" s="112">
        <v>0</v>
      </c>
      <c r="M70" s="112">
        <v>1.7916666666666701</v>
      </c>
      <c r="N70" s="112">
        <v>127.125</v>
      </c>
      <c r="O70" s="112">
        <v>86.6666666666666</v>
      </c>
      <c r="P70" s="113">
        <v>94.4583333333333</v>
      </c>
      <c r="Q70" s="112">
        <v>15.7083333333333</v>
      </c>
      <c r="R70" s="112">
        <v>0</v>
      </c>
      <c r="S70" s="112">
        <v>0</v>
      </c>
      <c r="T70" s="112">
        <v>0</v>
      </c>
    </row>
    <row r="71" spans="1:20">
      <c r="A71" s="15"/>
      <c r="B71" s="191"/>
      <c r="C71" s="191"/>
      <c r="D71" s="191"/>
      <c r="E71" s="191"/>
      <c r="F71" s="191"/>
      <c r="H71" s="9" t="s">
        <v>76</v>
      </c>
      <c r="I71" s="110">
        <f>I69-I70</f>
        <v>0</v>
      </c>
      <c r="J71" s="110">
        <f t="shared" ref="J71:T71" si="46">J69-J70</f>
        <v>0</v>
      </c>
      <c r="K71" s="110">
        <f t="shared" si="46"/>
        <v>0.18611111111111101</v>
      </c>
      <c r="L71" s="110">
        <f t="shared" si="46"/>
        <v>0.66666666666666696</v>
      </c>
      <c r="M71" s="110">
        <f t="shared" si="46"/>
        <v>6.0625</v>
      </c>
      <c r="N71" s="110">
        <f t="shared" si="46"/>
        <v>-101.0125</v>
      </c>
      <c r="O71" s="110">
        <f t="shared" si="46"/>
        <v>-9.6361111111110063</v>
      </c>
      <c r="P71" s="110">
        <f t="shared" si="46"/>
        <v>-22.7847222222222</v>
      </c>
      <c r="Q71" s="110">
        <f t="shared" si="46"/>
        <v>2.3125</v>
      </c>
      <c r="R71" s="110">
        <f t="shared" si="46"/>
        <v>0</v>
      </c>
      <c r="S71" s="110">
        <f t="shared" si="46"/>
        <v>0</v>
      </c>
      <c r="T71" s="110">
        <f t="shared" si="46"/>
        <v>0</v>
      </c>
    </row>
    <row r="72" spans="1:20">
      <c r="I72" s="42"/>
      <c r="J72" s="42"/>
      <c r="K72" s="42"/>
      <c r="L72" s="42"/>
      <c r="M72" s="42"/>
      <c r="N72" s="42"/>
      <c r="O72" s="42"/>
      <c r="P72" s="109"/>
      <c r="Q72" s="42"/>
      <c r="R72" s="42"/>
      <c r="S72" s="42"/>
      <c r="T72" s="42"/>
    </row>
    <row r="73" spans="1:20">
      <c r="H73" s="9" t="s">
        <v>83</v>
      </c>
      <c r="I73" s="110">
        <v>0</v>
      </c>
      <c r="J73" s="110">
        <v>0</v>
      </c>
      <c r="K73" s="110">
        <v>0.64027777777777795</v>
      </c>
      <c r="L73" s="110">
        <v>3.6555555555555599</v>
      </c>
      <c r="M73" s="110">
        <v>30.065277777777801</v>
      </c>
      <c r="N73" s="110">
        <v>71.6319444444444</v>
      </c>
      <c r="O73" s="110">
        <v>184.75555555555599</v>
      </c>
      <c r="P73" s="111">
        <v>185.745833333333</v>
      </c>
      <c r="Q73" s="110">
        <v>73.551388888888894</v>
      </c>
      <c r="R73" s="110">
        <v>1.94722222222222</v>
      </c>
      <c r="S73" s="110">
        <v>7.2222222222222104E-2</v>
      </c>
      <c r="T73" s="110">
        <v>0</v>
      </c>
    </row>
    <row r="74" spans="1:20">
      <c r="H74" s="18" t="s">
        <v>84</v>
      </c>
      <c r="I74" s="112">
        <v>0</v>
      </c>
      <c r="J74" s="112">
        <v>0</v>
      </c>
      <c r="K74" s="112">
        <v>0</v>
      </c>
      <c r="L74" s="112">
        <v>15.4583333333333</v>
      </c>
      <c r="M74" s="112">
        <v>17.625</v>
      </c>
      <c r="N74" s="112">
        <v>213.25</v>
      </c>
      <c r="O74" s="112">
        <v>217.666666666667</v>
      </c>
      <c r="P74" s="113">
        <v>206.5</v>
      </c>
      <c r="Q74" s="112">
        <v>68.7916666666667</v>
      </c>
      <c r="R74" s="112">
        <v>0</v>
      </c>
      <c r="S74" s="112">
        <v>0</v>
      </c>
      <c r="T74" s="112">
        <v>0</v>
      </c>
    </row>
    <row r="75" spans="1:20">
      <c r="H75" s="9" t="s">
        <v>76</v>
      </c>
      <c r="I75" s="110">
        <f>I73-I74</f>
        <v>0</v>
      </c>
      <c r="J75" s="110">
        <f t="shared" ref="J75:T75" si="47">J73-J74</f>
        <v>0</v>
      </c>
      <c r="K75" s="110">
        <f t="shared" si="47"/>
        <v>0.64027777777777795</v>
      </c>
      <c r="L75" s="110">
        <f t="shared" si="47"/>
        <v>-11.80277777777774</v>
      </c>
      <c r="M75" s="110">
        <f t="shared" si="47"/>
        <v>12.440277777777801</v>
      </c>
      <c r="N75" s="110">
        <f t="shared" si="47"/>
        <v>-141.6180555555556</v>
      </c>
      <c r="O75" s="110">
        <f t="shared" si="47"/>
        <v>-32.911111111111012</v>
      </c>
      <c r="P75" s="110">
        <f t="shared" si="47"/>
        <v>-20.754166666667004</v>
      </c>
      <c r="Q75" s="110">
        <f t="shared" si="47"/>
        <v>4.7597222222221944</v>
      </c>
      <c r="R75" s="110">
        <f t="shared" si="47"/>
        <v>1.94722222222222</v>
      </c>
      <c r="S75" s="110">
        <f t="shared" si="47"/>
        <v>7.2222222222222104E-2</v>
      </c>
      <c r="T75" s="110">
        <f t="shared" si="47"/>
        <v>0</v>
      </c>
    </row>
    <row r="80" spans="1:20" ht="15.6">
      <c r="A80" s="102" t="s">
        <v>134</v>
      </c>
    </row>
    <row r="82" spans="1:13">
      <c r="A82" s="107" t="s">
        <v>74</v>
      </c>
      <c r="B82" s="108">
        <f>B7</f>
        <v>44197</v>
      </c>
      <c r="C82" s="108">
        <f t="shared" ref="C82:M82" si="48">C7</f>
        <v>44228</v>
      </c>
      <c r="D82" s="108">
        <f t="shared" si="48"/>
        <v>44256</v>
      </c>
      <c r="E82" s="108">
        <f t="shared" si="48"/>
        <v>44287</v>
      </c>
      <c r="F82" s="108">
        <f t="shared" si="48"/>
        <v>44317</v>
      </c>
      <c r="G82" s="108">
        <f t="shared" si="48"/>
        <v>44348</v>
      </c>
      <c r="H82" s="108">
        <f t="shared" si="48"/>
        <v>44378</v>
      </c>
      <c r="I82" s="108">
        <f t="shared" si="48"/>
        <v>44409</v>
      </c>
      <c r="J82" s="108">
        <f t="shared" si="48"/>
        <v>44440</v>
      </c>
      <c r="K82" s="108">
        <f t="shared" si="48"/>
        <v>44470</v>
      </c>
      <c r="L82" s="108">
        <f t="shared" si="48"/>
        <v>44501</v>
      </c>
      <c r="M82" s="108">
        <f t="shared" si="48"/>
        <v>44531</v>
      </c>
    </row>
    <row r="83" spans="1:13">
      <c r="A83" s="103" t="s">
        <v>111</v>
      </c>
      <c r="B83" s="170">
        <f>'SAP BW Actual Usage'!C33</f>
        <v>1048014</v>
      </c>
      <c r="C83" s="170">
        <f>'SAP BW Actual Usage'!D33</f>
        <v>1048672</v>
      </c>
      <c r="D83" s="170">
        <f>'SAP BW Actual Usage'!E33</f>
        <v>1049587</v>
      </c>
      <c r="E83" s="170">
        <f>'SAP BW Actual Usage'!F33</f>
        <v>1050604</v>
      </c>
      <c r="F83" s="170">
        <f>'SAP BW Actual Usage'!G33</f>
        <v>1051255</v>
      </c>
      <c r="G83" s="170">
        <f>'SAP BW Actual Usage'!H33</f>
        <v>1052160</v>
      </c>
      <c r="H83" s="170">
        <f>'SAP BW Actual Usage'!I33</f>
        <v>1052420</v>
      </c>
      <c r="I83" s="170">
        <f>'SAP BW Actual Usage'!J33</f>
        <v>1053998</v>
      </c>
      <c r="J83" s="170">
        <f>'SAP BW Actual Usage'!K33</f>
        <v>1055230</v>
      </c>
      <c r="K83" s="170">
        <f>'SAP BW Actual Usage'!L33</f>
        <v>1056944</v>
      </c>
      <c r="L83" s="170">
        <f>'SAP BW Actual Usage'!M33</f>
        <v>1058179</v>
      </c>
      <c r="M83" s="170">
        <f>'SAP BW Actual Usage'!N33</f>
        <v>1059237</v>
      </c>
    </row>
    <row r="84" spans="1:13">
      <c r="A84" s="104" t="s">
        <v>35</v>
      </c>
      <c r="B84" s="170">
        <f>'SAP BW Actual Usage'!C34</f>
        <v>30693</v>
      </c>
      <c r="C84" s="170">
        <f>'SAP BW Actual Usage'!D34</f>
        <v>30711</v>
      </c>
      <c r="D84" s="170">
        <f>'SAP BW Actual Usage'!E34</f>
        <v>30755</v>
      </c>
      <c r="E84" s="170">
        <f>'SAP BW Actual Usage'!F34</f>
        <v>30786</v>
      </c>
      <c r="F84" s="170">
        <f>'SAP BW Actual Usage'!G34</f>
        <v>30803</v>
      </c>
      <c r="G84" s="170">
        <f>'SAP BW Actual Usage'!H34</f>
        <v>30837</v>
      </c>
      <c r="H84" s="170">
        <f>'SAP BW Actual Usage'!I34</f>
        <v>30828</v>
      </c>
      <c r="I84" s="170">
        <f>'SAP BW Actual Usage'!J34</f>
        <v>30849</v>
      </c>
      <c r="J84" s="170">
        <f>'SAP BW Actual Usage'!K34</f>
        <v>30870</v>
      </c>
      <c r="K84" s="170">
        <f>'SAP BW Actual Usage'!L34</f>
        <v>30919</v>
      </c>
      <c r="L84" s="170">
        <f>'SAP BW Actual Usage'!M34</f>
        <v>30914</v>
      </c>
      <c r="M84" s="170">
        <f>'SAP BW Actual Usage'!N34</f>
        <v>30923</v>
      </c>
    </row>
    <row r="85" spans="1:13">
      <c r="A85" s="104" t="s">
        <v>108</v>
      </c>
      <c r="B85" s="170">
        <f>'SAP BW Actual Usage'!C38</f>
        <v>93349</v>
      </c>
      <c r="C85" s="170">
        <f>'SAP BW Actual Usage'!D38</f>
        <v>93581</v>
      </c>
      <c r="D85" s="170">
        <f>'SAP BW Actual Usage'!E38</f>
        <v>93684</v>
      </c>
      <c r="E85" s="170">
        <f>'SAP BW Actual Usage'!F38</f>
        <v>93904</v>
      </c>
      <c r="F85" s="170">
        <f>'SAP BW Actual Usage'!G38</f>
        <v>94080</v>
      </c>
      <c r="G85" s="170">
        <f>'SAP BW Actual Usage'!H38</f>
        <v>94079</v>
      </c>
      <c r="H85" s="170">
        <f>'SAP BW Actual Usage'!I38</f>
        <v>94240</v>
      </c>
      <c r="I85" s="170">
        <f>'SAP BW Actual Usage'!J38</f>
        <v>94313</v>
      </c>
      <c r="J85" s="170">
        <f>'SAP BW Actual Usage'!K38</f>
        <v>94358</v>
      </c>
      <c r="K85" s="170">
        <f>'SAP BW Actual Usage'!L38</f>
        <v>94452</v>
      </c>
      <c r="L85" s="170">
        <f>'SAP BW Actual Usage'!M38</f>
        <v>94374</v>
      </c>
      <c r="M85" s="170">
        <f>'SAP BW Actual Usage'!N38</f>
        <v>94308</v>
      </c>
    </row>
    <row r="86" spans="1:13">
      <c r="A86" s="104" t="s">
        <v>36</v>
      </c>
      <c r="B86" s="170">
        <f>'SAP BW Actual Usage'!C36</f>
        <v>311</v>
      </c>
      <c r="C86" s="170">
        <f>'SAP BW Actual Usage'!D36</f>
        <v>314</v>
      </c>
      <c r="D86" s="170">
        <f>'SAP BW Actual Usage'!E36</f>
        <v>313</v>
      </c>
      <c r="E86" s="170">
        <f>'SAP BW Actual Usage'!F36</f>
        <v>313</v>
      </c>
      <c r="F86" s="170">
        <f>'SAP BW Actual Usage'!G36</f>
        <v>311</v>
      </c>
      <c r="G86" s="170">
        <f>'SAP BW Actual Usage'!H36</f>
        <v>311</v>
      </c>
      <c r="H86" s="170">
        <f>'SAP BW Actual Usage'!I36</f>
        <v>306</v>
      </c>
      <c r="I86" s="170">
        <f>'SAP BW Actual Usage'!J36</f>
        <v>308</v>
      </c>
      <c r="J86" s="170">
        <f>'SAP BW Actual Usage'!K36</f>
        <v>307</v>
      </c>
      <c r="K86" s="170">
        <f>'SAP BW Actual Usage'!L36</f>
        <v>307</v>
      </c>
      <c r="L86" s="170">
        <f>'SAP BW Actual Usage'!M36</f>
        <v>309</v>
      </c>
      <c r="M86" s="170">
        <f>'SAP BW Actual Usage'!N36</f>
        <v>308</v>
      </c>
    </row>
    <row r="87" spans="1:13">
      <c r="A87" s="104" t="s">
        <v>109</v>
      </c>
      <c r="B87" s="170">
        <f>'SAP BW Actual Usage'!C39</f>
        <v>7582</v>
      </c>
      <c r="C87" s="170">
        <f>'SAP BW Actual Usage'!D39</f>
        <v>7600</v>
      </c>
      <c r="D87" s="170">
        <f>'SAP BW Actual Usage'!E39</f>
        <v>7608</v>
      </c>
      <c r="E87" s="170">
        <f>'SAP BW Actual Usage'!F39</f>
        <v>7613</v>
      </c>
      <c r="F87" s="170">
        <f>'SAP BW Actual Usage'!G39</f>
        <v>7630</v>
      </c>
      <c r="G87" s="170">
        <f>'SAP BW Actual Usage'!H39</f>
        <v>7635</v>
      </c>
      <c r="H87" s="170">
        <f>'SAP BW Actual Usage'!I39</f>
        <v>7651</v>
      </c>
      <c r="I87" s="170">
        <f>'SAP BW Actual Usage'!J39</f>
        <v>7659</v>
      </c>
      <c r="J87" s="170">
        <f>'SAP BW Actual Usage'!K39</f>
        <v>7668</v>
      </c>
      <c r="K87" s="170">
        <f>'SAP BW Actual Usage'!L39</f>
        <v>7668</v>
      </c>
      <c r="L87" s="170">
        <f>'SAP BW Actual Usage'!M39</f>
        <v>7673</v>
      </c>
      <c r="M87" s="170">
        <f>'SAP BW Actual Usage'!N39</f>
        <v>7682</v>
      </c>
    </row>
    <row r="88" spans="1:13">
      <c r="A88" s="104" t="s">
        <v>37</v>
      </c>
      <c r="B88" s="170">
        <f>'SAP BW Actual Usage'!C37</f>
        <v>12</v>
      </c>
      <c r="C88" s="170">
        <f>'SAP BW Actual Usage'!D37</f>
        <v>12</v>
      </c>
      <c r="D88" s="170">
        <f>'SAP BW Actual Usage'!E37</f>
        <v>12</v>
      </c>
      <c r="E88" s="170">
        <f>'SAP BW Actual Usage'!F37</f>
        <v>12</v>
      </c>
      <c r="F88" s="170">
        <f>'SAP BW Actual Usage'!G37</f>
        <v>12</v>
      </c>
      <c r="G88" s="170">
        <f>'SAP BW Actual Usage'!H37</f>
        <v>12</v>
      </c>
      <c r="H88" s="170">
        <f>'SAP BW Actual Usage'!I37</f>
        <v>12</v>
      </c>
      <c r="I88" s="170">
        <f>'SAP BW Actual Usage'!J37</f>
        <v>12</v>
      </c>
      <c r="J88" s="170">
        <f>'SAP BW Actual Usage'!K37</f>
        <v>12</v>
      </c>
      <c r="K88" s="170">
        <f>'SAP BW Actual Usage'!L37</f>
        <v>12</v>
      </c>
      <c r="L88" s="170">
        <f>'SAP BW Actual Usage'!M37</f>
        <v>12</v>
      </c>
      <c r="M88" s="170">
        <f>'SAP BW Actual Usage'!N37</f>
        <v>12</v>
      </c>
    </row>
    <row r="89" spans="1:13">
      <c r="A89" s="104" t="s">
        <v>110</v>
      </c>
      <c r="B89" s="170">
        <f>'SAP BW Actual Usage'!C40</f>
        <v>812</v>
      </c>
      <c r="C89" s="170">
        <f>'SAP BW Actual Usage'!D40</f>
        <v>812</v>
      </c>
      <c r="D89" s="170">
        <f>'SAP BW Actual Usage'!E40</f>
        <v>811</v>
      </c>
      <c r="E89" s="170">
        <f>'SAP BW Actual Usage'!F40</f>
        <v>812</v>
      </c>
      <c r="F89" s="170">
        <f>'SAP BW Actual Usage'!G40</f>
        <v>813</v>
      </c>
      <c r="G89" s="170">
        <f>'SAP BW Actual Usage'!H40</f>
        <v>816</v>
      </c>
      <c r="H89" s="170">
        <f>'SAP BW Actual Usage'!I40</f>
        <v>817</v>
      </c>
      <c r="I89" s="170">
        <f>'SAP BW Actual Usage'!J40</f>
        <v>818</v>
      </c>
      <c r="J89" s="170">
        <f>'SAP BW Actual Usage'!K40</f>
        <v>820</v>
      </c>
      <c r="K89" s="170">
        <f>'SAP BW Actual Usage'!L40</f>
        <v>820</v>
      </c>
      <c r="L89" s="170">
        <f>'SAP BW Actual Usage'!M40</f>
        <v>823</v>
      </c>
      <c r="M89" s="170">
        <f>'SAP BW Actual Usage'!N40</f>
        <v>824</v>
      </c>
    </row>
    <row r="90" spans="1:13">
      <c r="A90" s="104" t="s">
        <v>38</v>
      </c>
      <c r="B90" s="170">
        <f>'SAP BW Actual Usage'!C35</f>
        <v>13</v>
      </c>
      <c r="C90" s="170">
        <f>'SAP BW Actual Usage'!D35</f>
        <v>13</v>
      </c>
      <c r="D90" s="170">
        <f>'SAP BW Actual Usage'!E35</f>
        <v>13</v>
      </c>
      <c r="E90" s="170">
        <f>'SAP BW Actual Usage'!F35</f>
        <v>13</v>
      </c>
      <c r="F90" s="170">
        <f>'SAP BW Actual Usage'!G35</f>
        <v>13</v>
      </c>
      <c r="G90" s="170">
        <f>'SAP BW Actual Usage'!H35</f>
        <v>13</v>
      </c>
      <c r="H90" s="170">
        <f>'SAP BW Actual Usage'!I35</f>
        <v>13</v>
      </c>
      <c r="I90" s="170">
        <f>'SAP BW Actual Usage'!J35</f>
        <v>13</v>
      </c>
      <c r="J90" s="170">
        <f>'SAP BW Actual Usage'!K35</f>
        <v>13</v>
      </c>
      <c r="K90" s="170">
        <f>'SAP BW Actual Usage'!L35</f>
        <v>13</v>
      </c>
      <c r="L90" s="170">
        <f>'SAP BW Actual Usage'!M35</f>
        <v>13</v>
      </c>
      <c r="M90" s="170">
        <f>'SAP BW Actual Usage'!N35</f>
        <v>13</v>
      </c>
    </row>
    <row r="91" spans="1:13">
      <c r="A91" s="104" t="s">
        <v>6</v>
      </c>
      <c r="B91" s="170">
        <f>'SAP BW Actual Usage'!C42</f>
        <v>475</v>
      </c>
      <c r="C91" s="170">
        <f>'SAP BW Actual Usage'!D42</f>
        <v>472</v>
      </c>
      <c r="D91" s="170">
        <f>'SAP BW Actual Usage'!E42</f>
        <v>472</v>
      </c>
      <c r="E91" s="170">
        <f>'SAP BW Actual Usage'!F42</f>
        <v>472</v>
      </c>
      <c r="F91" s="170">
        <f>'SAP BW Actual Usage'!G42</f>
        <v>473</v>
      </c>
      <c r="G91" s="170">
        <f>'SAP BW Actual Usage'!H42</f>
        <v>476</v>
      </c>
      <c r="H91" s="170">
        <f>'SAP BW Actual Usage'!I42</f>
        <v>477</v>
      </c>
      <c r="I91" s="170">
        <f>'SAP BW Actual Usage'!J42</f>
        <v>476</v>
      </c>
      <c r="J91" s="170">
        <f>'SAP BW Actual Usage'!K42</f>
        <v>476</v>
      </c>
      <c r="K91" s="170">
        <f>'SAP BW Actual Usage'!L42</f>
        <v>480</v>
      </c>
      <c r="L91" s="170">
        <f>'SAP BW Actual Usage'!M42</f>
        <v>481</v>
      </c>
      <c r="M91" s="170">
        <f>'SAP BW Actual Usage'!N42</f>
        <v>481</v>
      </c>
    </row>
    <row r="92" spans="1:13">
      <c r="A92" s="104" t="s">
        <v>5</v>
      </c>
      <c r="B92" s="170">
        <f>'SAP BW Actual Usage'!C41</f>
        <v>557</v>
      </c>
      <c r="C92" s="170">
        <f>'SAP BW Actual Usage'!D41</f>
        <v>558</v>
      </c>
      <c r="D92" s="170">
        <f>'SAP BW Actual Usage'!E41</f>
        <v>560</v>
      </c>
      <c r="E92" s="170">
        <f>'SAP BW Actual Usage'!F41</f>
        <v>595</v>
      </c>
      <c r="F92" s="170">
        <f>'SAP BW Actual Usage'!G41</f>
        <v>634</v>
      </c>
      <c r="G92" s="170">
        <f>'SAP BW Actual Usage'!H41</f>
        <v>651</v>
      </c>
      <c r="H92" s="170">
        <f>'SAP BW Actual Usage'!I41</f>
        <v>693</v>
      </c>
      <c r="I92" s="170">
        <f>'SAP BW Actual Usage'!J41</f>
        <v>690</v>
      </c>
      <c r="J92" s="170">
        <f>'SAP BW Actual Usage'!K41</f>
        <v>667</v>
      </c>
      <c r="K92" s="170">
        <f>'SAP BW Actual Usage'!L41</f>
        <v>632</v>
      </c>
      <c r="L92" s="170">
        <f>'SAP BW Actual Usage'!M41</f>
        <v>590</v>
      </c>
      <c r="M92" s="170">
        <f>'SAP BW Actual Usage'!N41</f>
        <v>584</v>
      </c>
    </row>
    <row r="93" spans="1:13">
      <c r="A93" s="105" t="s">
        <v>8</v>
      </c>
      <c r="B93" s="170">
        <f>'SAP BW Actual Usage'!C44</f>
        <v>146</v>
      </c>
      <c r="C93" s="170">
        <f>'SAP BW Actual Usage'!D44</f>
        <v>146</v>
      </c>
      <c r="D93" s="170">
        <f>'SAP BW Actual Usage'!E44</f>
        <v>146</v>
      </c>
      <c r="E93" s="170">
        <f>'SAP BW Actual Usage'!F44</f>
        <v>146</v>
      </c>
      <c r="F93" s="170">
        <f>'SAP BW Actual Usage'!G44</f>
        <v>146</v>
      </c>
      <c r="G93" s="170">
        <f>'SAP BW Actual Usage'!H44</f>
        <v>146</v>
      </c>
      <c r="H93" s="170">
        <f>'SAP BW Actual Usage'!I44</f>
        <v>146</v>
      </c>
      <c r="I93" s="170">
        <f>'SAP BW Actual Usage'!J44</f>
        <v>146</v>
      </c>
      <c r="J93" s="170">
        <f>'SAP BW Actual Usage'!K44</f>
        <v>146</v>
      </c>
      <c r="K93" s="170">
        <f>'SAP BW Actual Usage'!L44</f>
        <v>146</v>
      </c>
      <c r="L93" s="170">
        <f>'SAP BW Actual Usage'!M44</f>
        <v>146</v>
      </c>
      <c r="M93" s="170">
        <f>'SAP BW Actual Usage'!N44</f>
        <v>145</v>
      </c>
    </row>
    <row r="94" spans="1:13">
      <c r="A94" s="172" t="s">
        <v>26</v>
      </c>
      <c r="B94" s="170">
        <f>'SAP BW Actual Usage'!C32</f>
        <v>8</v>
      </c>
      <c r="C94" s="170">
        <f>'SAP BW Actual Usage'!D32</f>
        <v>8</v>
      </c>
      <c r="D94" s="170">
        <f>'SAP BW Actual Usage'!E32</f>
        <v>8</v>
      </c>
      <c r="E94" s="170">
        <f>'SAP BW Actual Usage'!F32</f>
        <v>8</v>
      </c>
      <c r="F94" s="170">
        <f>'SAP BW Actual Usage'!G32</f>
        <v>8</v>
      </c>
      <c r="G94" s="170">
        <f>'SAP BW Actual Usage'!H32</f>
        <v>8</v>
      </c>
      <c r="H94" s="170">
        <f>'SAP BW Actual Usage'!I32</f>
        <v>8</v>
      </c>
      <c r="I94" s="170">
        <f>'SAP BW Actual Usage'!J32</f>
        <v>8</v>
      </c>
      <c r="J94" s="170">
        <f>'SAP BW Actual Usage'!K32</f>
        <v>8</v>
      </c>
      <c r="K94" s="170">
        <f>'SAP BW Actual Usage'!L32</f>
        <v>8</v>
      </c>
      <c r="L94" s="170">
        <f>'SAP BW Actual Usage'!M32</f>
        <v>8</v>
      </c>
      <c r="M94" s="170">
        <f>'SAP BW Actual Usage'!N32</f>
        <v>8</v>
      </c>
    </row>
    <row r="95" spans="1:13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>
      <c r="A97" s="177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>
      <c r="A98" s="177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>
      <c r="A99" s="177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>
      <c r="A100" s="177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2:13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2:13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2:13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2:13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2:13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3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2:13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2:13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2:13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2:13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2:13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2:13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2:13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2:13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2:13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2:13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2:13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2:13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2:13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workbookViewId="0">
      <selection activeCell="S21" sqref="S21"/>
    </sheetView>
  </sheetViews>
  <sheetFormatPr defaultRowHeight="13.2"/>
  <cols>
    <col min="1" max="1" width="27.6640625" customWidth="1"/>
    <col min="2" max="14" width="16" customWidth="1"/>
    <col min="16" max="16" width="14.33203125" customWidth="1"/>
    <col min="17" max="17" width="12.33203125" customWidth="1"/>
  </cols>
  <sheetData>
    <row r="1" spans="1:28">
      <c r="A1" s="43" t="s">
        <v>40</v>
      </c>
    </row>
    <row r="2" spans="1:28">
      <c r="A2" s="43" t="s">
        <v>27</v>
      </c>
    </row>
    <row r="3" spans="1:28">
      <c r="A3" s="9"/>
    </row>
    <row r="4" spans="1:28">
      <c r="A4" s="76"/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>
      <c r="A6" s="55" t="s">
        <v>24</v>
      </c>
    </row>
    <row r="7" spans="1:28">
      <c r="A7" s="43" t="s">
        <v>25</v>
      </c>
      <c r="B7" s="39">
        <f>'Sales &amp; Revenue Adj.'!C5</f>
        <v>44197</v>
      </c>
      <c r="C7" s="39">
        <f>'Sales &amp; Revenue Adj.'!D5</f>
        <v>44228</v>
      </c>
      <c r="D7" s="39">
        <f>'Sales &amp; Revenue Adj.'!E5</f>
        <v>44256</v>
      </c>
      <c r="E7" s="39">
        <f>'Sales &amp; Revenue Adj.'!F5</f>
        <v>44287</v>
      </c>
      <c r="F7" s="39">
        <f>'Sales &amp; Revenue Adj.'!G5</f>
        <v>44317</v>
      </c>
      <c r="G7" s="39">
        <f>'Sales &amp; Revenue Adj.'!H5</f>
        <v>44348</v>
      </c>
      <c r="H7" s="39">
        <f>'Sales &amp; Revenue Adj.'!I5</f>
        <v>44378</v>
      </c>
      <c r="I7" s="39">
        <f>'Sales &amp; Revenue Adj.'!J5</f>
        <v>44409</v>
      </c>
      <c r="J7" s="39">
        <f>'Sales &amp; Revenue Adj.'!K5</f>
        <v>44440</v>
      </c>
      <c r="K7" s="39">
        <f>'Sales &amp; Revenue Adj.'!L5</f>
        <v>44470</v>
      </c>
      <c r="L7" s="39">
        <f>'Sales &amp; Revenue Adj.'!M5</f>
        <v>44501</v>
      </c>
      <c r="M7" s="39">
        <f>'Sales &amp; Revenue Adj.'!N5</f>
        <v>44531</v>
      </c>
      <c r="N7" s="54" t="s">
        <v>19</v>
      </c>
    </row>
    <row r="8" spans="1:28">
      <c r="A8" s="65" t="s">
        <v>111</v>
      </c>
      <c r="B8" s="1">
        <f>'Actual Total Usage'!B8+'Temp Adj. by Schedule'!B37</f>
        <v>1270744027.8899934</v>
      </c>
      <c r="C8" s="1">
        <f>'Actual Total Usage'!C8+'Temp Adj. by Schedule'!C37</f>
        <v>1147123116.2697673</v>
      </c>
      <c r="D8" s="1">
        <f>'Actual Total Usage'!D8+'Temp Adj. by Schedule'!D37</f>
        <v>1173399936.4556293</v>
      </c>
      <c r="E8" s="1">
        <f>'Actual Total Usage'!E8+'Temp Adj. by Schedule'!E37</f>
        <v>1056966715.6267562</v>
      </c>
      <c r="F8" s="1">
        <f>'Actual Total Usage'!F8+'Temp Adj. by Schedule'!F37</f>
        <v>799725039.81646001</v>
      </c>
      <c r="G8" s="1">
        <f>'Actual Total Usage'!G8+'Temp Adj. by Schedule'!G37</f>
        <v>680980850.10418665</v>
      </c>
      <c r="H8" s="1">
        <f>'Actual Total Usage'!H8+'Temp Adj. by Schedule'!H37</f>
        <v>805802920.72246718</v>
      </c>
      <c r="I8" s="1">
        <f>'Actual Total Usage'!I8+'Temp Adj. by Schedule'!I37</f>
        <v>762069458.87545335</v>
      </c>
      <c r="J8" s="1">
        <f>'Actual Total Usage'!J8+'Temp Adj. by Schedule'!J37</f>
        <v>744759181.08729267</v>
      </c>
      <c r="K8" s="1">
        <f>'Actual Total Usage'!K8+'Temp Adj. by Schedule'!K37</f>
        <v>745963971.03494203</v>
      </c>
      <c r="L8" s="1">
        <f>'Actual Total Usage'!L8+'Temp Adj. by Schedule'!L37</f>
        <v>979732180.11125374</v>
      </c>
      <c r="M8" s="1">
        <f>'Actual Total Usage'!M8+'Temp Adj. by Schedule'!M37</f>
        <v>1089898190.3454831</v>
      </c>
      <c r="N8" s="141">
        <f>SUM(B8:M8)</f>
        <v>11257165588.339685</v>
      </c>
    </row>
    <row r="9" spans="1:28">
      <c r="A9" s="58" t="s">
        <v>29</v>
      </c>
      <c r="B9" s="82">
        <f t="shared" ref="B9:I9" si="0">SUM(B8:B8)</f>
        <v>1270744027.8899934</v>
      </c>
      <c r="C9" s="82">
        <f t="shared" si="0"/>
        <v>1147123116.2697673</v>
      </c>
      <c r="D9" s="82">
        <f t="shared" si="0"/>
        <v>1173399936.4556293</v>
      </c>
      <c r="E9" s="82">
        <f t="shared" si="0"/>
        <v>1056966715.6267562</v>
      </c>
      <c r="F9" s="82">
        <f t="shared" si="0"/>
        <v>799725039.81646001</v>
      </c>
      <c r="G9" s="82">
        <f t="shared" si="0"/>
        <v>680980850.10418665</v>
      </c>
      <c r="H9" s="82">
        <f t="shared" si="0"/>
        <v>805802920.72246718</v>
      </c>
      <c r="I9" s="82">
        <f t="shared" si="0"/>
        <v>762069458.87545335</v>
      </c>
      <c r="J9" s="82">
        <f t="shared" ref="J9:M9" si="1">SUM(J8:J8)</f>
        <v>744759181.08729267</v>
      </c>
      <c r="K9" s="82">
        <f t="shared" si="1"/>
        <v>745963971.03494203</v>
      </c>
      <c r="L9" s="82">
        <f t="shared" si="1"/>
        <v>979732180.11125374</v>
      </c>
      <c r="M9" s="82">
        <f t="shared" si="1"/>
        <v>1089898190.3454831</v>
      </c>
      <c r="N9" s="142">
        <f>SUM(B9:M9)</f>
        <v>11257165588.339685</v>
      </c>
    </row>
    <row r="10" spans="1:28">
      <c r="A10" s="5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43"/>
    </row>
    <row r="11" spans="1:28">
      <c r="A11" s="65" t="s">
        <v>35</v>
      </c>
      <c r="B11" s="1">
        <f>'Actual Total Usage'!B11+'Temp Adj. by Schedule'!B38</f>
        <v>26757182.883266158</v>
      </c>
      <c r="C11" s="1">
        <f>'Actual Total Usage'!C11+'Temp Adj. by Schedule'!C38</f>
        <v>24898843.661017366</v>
      </c>
      <c r="D11" s="1">
        <f>'Actual Total Usage'!D11+'Temp Adj. by Schedule'!D38</f>
        <v>24971028.897650696</v>
      </c>
      <c r="E11" s="1">
        <f>'Actual Total Usage'!E11+'Temp Adj. by Schedule'!E38</f>
        <v>24507123.681691676</v>
      </c>
      <c r="F11" s="1">
        <f>'Actual Total Usage'!F11+'Temp Adj. by Schedule'!F38</f>
        <v>18048596.706347365</v>
      </c>
      <c r="G11" s="1">
        <f>'Actual Total Usage'!G11+'Temp Adj. by Schedule'!G38</f>
        <v>17833361.986602876</v>
      </c>
      <c r="H11" s="1">
        <f>'Actual Total Usage'!H11+'Temp Adj. by Schedule'!H38</f>
        <v>18713407.403321598</v>
      </c>
      <c r="I11" s="1">
        <f>'Actual Total Usage'!I11+'Temp Adj. by Schedule'!I38</f>
        <v>18464541.007945523</v>
      </c>
      <c r="J11" s="1">
        <f>'Actual Total Usage'!J11+'Temp Adj. by Schedule'!J38</f>
        <v>17857646.766638249</v>
      </c>
      <c r="K11" s="1">
        <f>'Actual Total Usage'!K11+'Temp Adj. by Schedule'!K38</f>
        <v>18209073.043077208</v>
      </c>
      <c r="L11" s="1">
        <f>'Actual Total Usage'!L11+'Temp Adj. by Schedule'!L38</f>
        <v>21670900.513648026</v>
      </c>
      <c r="M11" s="1">
        <f>'Actual Total Usage'!M11+'Temp Adj. by Schedule'!M38</f>
        <v>23727033.647505641</v>
      </c>
      <c r="N11" s="141">
        <f>SUM(B11:M11)</f>
        <v>255658740.19871241</v>
      </c>
    </row>
    <row r="12" spans="1:28" s="56" customFormat="1">
      <c r="A12" s="65" t="s">
        <v>108</v>
      </c>
      <c r="B12" s="83">
        <f>'Actual Total Usage'!B12+'Temp Adj. by Schedule'!B39</f>
        <v>207413408.80366862</v>
      </c>
      <c r="C12" s="83">
        <f>'Actual Total Usage'!C12+'Temp Adj. by Schedule'!C39</f>
        <v>211172398.77496696</v>
      </c>
      <c r="D12" s="83">
        <f>'Actual Total Usage'!D12+'Temp Adj. by Schedule'!D39</f>
        <v>206644053.22218001</v>
      </c>
      <c r="E12" s="83">
        <f>'Actual Total Usage'!E12+'Temp Adj. by Schedule'!E39</f>
        <v>219991337.52246761</v>
      </c>
      <c r="F12" s="83">
        <f>'Actual Total Usage'!F12+'Temp Adj. by Schedule'!F39</f>
        <v>173066997.13652268</v>
      </c>
      <c r="G12" s="83">
        <f>'Actual Total Usage'!G12+'Temp Adj. by Schedule'!G39</f>
        <v>194437589.41515583</v>
      </c>
      <c r="H12" s="83">
        <f>'Actual Total Usage'!H12+'Temp Adj. by Schedule'!H39</f>
        <v>211654945.02117243</v>
      </c>
      <c r="I12" s="83">
        <f>'Actual Total Usage'!I12+'Temp Adj. by Schedule'!I39</f>
        <v>195583049.58925399</v>
      </c>
      <c r="J12" s="83">
        <f>'Actual Total Usage'!J12+'Temp Adj. by Schedule'!J39</f>
        <v>194485816.47468477</v>
      </c>
      <c r="K12" s="83">
        <f>'Actual Total Usage'!K12+'Temp Adj. by Schedule'!K39</f>
        <v>193237562.29666305</v>
      </c>
      <c r="L12" s="83">
        <f>'Actual Total Usage'!L12+'Temp Adj. by Schedule'!L39</f>
        <v>203794052.86445963</v>
      </c>
      <c r="M12" s="83">
        <f>'Actual Total Usage'!M12+'Temp Adj. by Schedule'!M39</f>
        <v>216336675.31936669</v>
      </c>
      <c r="N12" s="62">
        <f>SUM(B12:M12)</f>
        <v>2427817886.4405622</v>
      </c>
      <c r="P12"/>
      <c r="Q12"/>
      <c r="R12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>
      <c r="A13" s="58" t="s">
        <v>30</v>
      </c>
      <c r="B13" s="82">
        <f t="shared" ref="B13:I13" si="2">SUM(B11:B12)</f>
        <v>234170591.68693477</v>
      </c>
      <c r="C13" s="82">
        <f t="shared" si="2"/>
        <v>236071242.43598431</v>
      </c>
      <c r="D13" s="82">
        <f t="shared" si="2"/>
        <v>231615082.1198307</v>
      </c>
      <c r="E13" s="82">
        <f t="shared" si="2"/>
        <v>244498461.20415929</v>
      </c>
      <c r="F13" s="82">
        <f t="shared" si="2"/>
        <v>191115593.84287006</v>
      </c>
      <c r="G13" s="82">
        <f t="shared" si="2"/>
        <v>212270951.4017587</v>
      </c>
      <c r="H13" s="82">
        <f t="shared" si="2"/>
        <v>230368352.42449403</v>
      </c>
      <c r="I13" s="82">
        <f t="shared" si="2"/>
        <v>214047590.5971995</v>
      </c>
      <c r="J13" s="82">
        <f t="shared" ref="J13:M13" si="3">SUM(J11:J12)</f>
        <v>212343463.24132302</v>
      </c>
      <c r="K13" s="82">
        <f t="shared" si="3"/>
        <v>211446635.33974025</v>
      </c>
      <c r="L13" s="82">
        <f t="shared" si="3"/>
        <v>225464953.37810767</v>
      </c>
      <c r="M13" s="82">
        <f t="shared" si="3"/>
        <v>240063708.96687233</v>
      </c>
      <c r="N13" s="142">
        <f>SUM(B13:M13)</f>
        <v>2683476626.6392741</v>
      </c>
    </row>
    <row r="14" spans="1:28">
      <c r="A14" s="5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41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5" t="s">
        <v>36</v>
      </c>
      <c r="B15" s="1">
        <f>'Actual Total Usage'!B15+'Temp Adj. by Schedule'!B40</f>
        <v>13102334.487272894</v>
      </c>
      <c r="C15" s="1">
        <f>'Actual Total Usage'!C15+'Temp Adj. by Schedule'!C40</f>
        <v>11545967.155802051</v>
      </c>
      <c r="D15" s="1">
        <f>'Actual Total Usage'!D15+'Temp Adj. by Schedule'!D40</f>
        <v>11774449.378287856</v>
      </c>
      <c r="E15" s="1">
        <f>'Actual Total Usage'!E15+'Temp Adj. by Schedule'!E40</f>
        <v>13298133.116999164</v>
      </c>
      <c r="F15" s="1">
        <f>'Actual Total Usage'!F15+'Temp Adj. by Schedule'!F40</f>
        <v>10198499.040311441</v>
      </c>
      <c r="G15" s="1">
        <f>'Actual Total Usage'!G15+'Temp Adj. by Schedule'!G40</f>
        <v>8498840.5711072925</v>
      </c>
      <c r="H15" s="1">
        <f>'Actual Total Usage'!H15+'Temp Adj. by Schedule'!H40</f>
        <v>10100539.38342</v>
      </c>
      <c r="I15" s="1">
        <f>'Actual Total Usage'!I15+'Temp Adj. by Schedule'!I40</f>
        <v>10125584.957542498</v>
      </c>
      <c r="J15" s="1">
        <f>'Actual Total Usage'!J15+'Temp Adj. by Schedule'!J40</f>
        <v>9988581.5597397927</v>
      </c>
      <c r="K15" s="1">
        <f>'Actual Total Usage'!K15+'Temp Adj. by Schedule'!K40</f>
        <v>9361832.1538960394</v>
      </c>
      <c r="L15" s="1">
        <f>'Actual Total Usage'!L15+'Temp Adj. by Schedule'!L40</f>
        <v>11758529.443100266</v>
      </c>
      <c r="M15" s="1">
        <f>'Actual Total Usage'!M15+'Temp Adj. by Schedule'!M40</f>
        <v>12782587.538562609</v>
      </c>
      <c r="N15" s="141">
        <f>SUM(B15:M15)</f>
        <v>132535878.7860419</v>
      </c>
    </row>
    <row r="16" spans="1:28" s="56" customFormat="1">
      <c r="A16" s="65" t="s">
        <v>109</v>
      </c>
      <c r="B16" s="83">
        <f>'Actual Total Usage'!B16+'Temp Adj. by Schedule'!B41</f>
        <v>217110098.43970111</v>
      </c>
      <c r="C16" s="83">
        <f>'Actual Total Usage'!C16+'Temp Adj. by Schedule'!C41</f>
        <v>229792495.74523389</v>
      </c>
      <c r="D16" s="83">
        <f>'Actual Total Usage'!D16+'Temp Adj. by Schedule'!D41</f>
        <v>237900719.25417534</v>
      </c>
      <c r="E16" s="83">
        <f>'Actual Total Usage'!E16+'Temp Adj. by Schedule'!E41</f>
        <v>228883412.2736001</v>
      </c>
      <c r="F16" s="83">
        <f>'Actual Total Usage'!F16+'Temp Adj. by Schedule'!F41</f>
        <v>207001003.66872969</v>
      </c>
      <c r="G16" s="83">
        <f>'Actual Total Usage'!G16+'Temp Adj. by Schedule'!G41</f>
        <v>218300083.96279657</v>
      </c>
      <c r="H16" s="83">
        <f>'Actual Total Usage'!H16+'Temp Adj. by Schedule'!H41</f>
        <v>241248305.94233248</v>
      </c>
      <c r="I16" s="83">
        <f>'Actual Total Usage'!I16+'Temp Adj. by Schedule'!I41</f>
        <v>232384353.53376225</v>
      </c>
      <c r="J16" s="83">
        <f>'Actual Total Usage'!J16+'Temp Adj. by Schedule'!J41</f>
        <v>235814151.94668096</v>
      </c>
      <c r="K16" s="83">
        <f>'Actual Total Usage'!K16+'Temp Adj. by Schedule'!K41</f>
        <v>219174765.70346689</v>
      </c>
      <c r="L16" s="83">
        <f>'Actual Total Usage'!L16+'Temp Adj. by Schedule'!L41</f>
        <v>230687127.10706487</v>
      </c>
      <c r="M16" s="83">
        <f>'Actual Total Usage'!M16+'Temp Adj. by Schedule'!M41</f>
        <v>233886196.43133035</v>
      </c>
      <c r="N16" s="62">
        <f>SUM(B16:M16)</f>
        <v>2732182714.0088744</v>
      </c>
      <c r="P16"/>
      <c r="Q16"/>
      <c r="R16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>
      <c r="A17" s="58" t="s">
        <v>31</v>
      </c>
      <c r="B17" s="82">
        <f t="shared" ref="B17:I17" si="4">SUM(B15:B16)</f>
        <v>230212432.926974</v>
      </c>
      <c r="C17" s="82">
        <f t="shared" si="4"/>
        <v>241338462.90103593</v>
      </c>
      <c r="D17" s="82">
        <f t="shared" si="4"/>
        <v>249675168.63246319</v>
      </c>
      <c r="E17" s="82">
        <f t="shared" si="4"/>
        <v>242181545.39059925</v>
      </c>
      <c r="F17" s="82">
        <f t="shared" si="4"/>
        <v>217199502.70904112</v>
      </c>
      <c r="G17" s="82">
        <f t="shared" si="4"/>
        <v>226798924.53390387</v>
      </c>
      <c r="H17" s="82">
        <f t="shared" si="4"/>
        <v>251348845.32575247</v>
      </c>
      <c r="I17" s="82">
        <f t="shared" si="4"/>
        <v>242509938.49130476</v>
      </c>
      <c r="J17" s="82">
        <f t="shared" ref="J17:M17" si="5">SUM(J15:J16)</f>
        <v>245802733.50642076</v>
      </c>
      <c r="K17" s="82">
        <f t="shared" si="5"/>
        <v>228536597.85736293</v>
      </c>
      <c r="L17" s="82">
        <f t="shared" si="5"/>
        <v>242445656.55016515</v>
      </c>
      <c r="M17" s="82">
        <f t="shared" si="5"/>
        <v>246668783.96989295</v>
      </c>
      <c r="N17" s="142">
        <f>SUM(B17:M17)</f>
        <v>2864718592.7949166</v>
      </c>
    </row>
    <row r="18" spans="1:28">
      <c r="A18" s="5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41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5" t="s">
        <v>37</v>
      </c>
      <c r="B19" s="1">
        <f>'Actual Total Usage'!B19+'Temp Adj. by Schedule'!B42</f>
        <v>1314679.0884193331</v>
      </c>
      <c r="C19" s="1">
        <f>'Actual Total Usage'!C19+'Temp Adj. by Schedule'!C42</f>
        <v>1442231.4220533336</v>
      </c>
      <c r="D19" s="1">
        <f>'Actual Total Usage'!D19+'Temp Adj. by Schedule'!D42</f>
        <v>1366021.264864</v>
      </c>
      <c r="E19" s="1">
        <f>'Actual Total Usage'!E19+'Temp Adj. by Schedule'!E42</f>
        <v>1281716.3615373333</v>
      </c>
      <c r="F19" s="1">
        <f>'Actual Total Usage'!F19+'Temp Adj. by Schedule'!F42</f>
        <v>1100866.0344471668</v>
      </c>
      <c r="G19" s="1">
        <f>'Actual Total Usage'!G19+'Temp Adj. by Schedule'!G42</f>
        <v>975305.18823416671</v>
      </c>
      <c r="H19" s="1">
        <f>'Actual Total Usage'!H19+'Temp Adj. by Schedule'!H42</f>
        <v>1076572.2442053333</v>
      </c>
      <c r="I19" s="1">
        <f>'Actual Total Usage'!I19+'Temp Adj. by Schedule'!I42</f>
        <v>1557238.7755384999</v>
      </c>
      <c r="J19" s="1">
        <f>'Actual Total Usage'!J19+'Temp Adj. by Schedule'!J42</f>
        <v>1383468.0021568334</v>
      </c>
      <c r="K19" s="1">
        <f>'Actual Total Usage'!K19+'Temp Adj. by Schedule'!K42</f>
        <v>1082070.3139340002</v>
      </c>
      <c r="L19" s="1">
        <f>'Actual Total Usage'!L19+'Temp Adj. by Schedule'!L42</f>
        <v>2240840.5086746663</v>
      </c>
      <c r="M19" s="1">
        <f>'Actual Total Usage'!M19+'Temp Adj. by Schedule'!M42</f>
        <v>1022274.9161799996</v>
      </c>
      <c r="N19" s="141">
        <f>SUM(B19:M19)</f>
        <v>15843284.120244667</v>
      </c>
    </row>
    <row r="20" spans="1:28" s="56" customFormat="1">
      <c r="A20" s="65" t="s">
        <v>110</v>
      </c>
      <c r="B20" s="83">
        <f>'Actual Total Usage'!B20+'Temp Adj. by Schedule'!B43</f>
        <v>135098556.6909</v>
      </c>
      <c r="C20" s="83">
        <f>'Actual Total Usage'!C20+'Temp Adj. by Schedule'!C43</f>
        <v>142358315.45057246</v>
      </c>
      <c r="D20" s="83">
        <f>'Actual Total Usage'!D20+'Temp Adj. by Schedule'!D43</f>
        <v>148229821.0748879</v>
      </c>
      <c r="E20" s="83">
        <f>'Actual Total Usage'!E20+'Temp Adj. by Schedule'!E43</f>
        <v>140283105.07307133</v>
      </c>
      <c r="F20" s="83">
        <f>'Actual Total Usage'!F20+'Temp Adj. by Schedule'!F43</f>
        <v>129447808.80275577</v>
      </c>
      <c r="G20" s="83">
        <f>'Actual Total Usage'!G20+'Temp Adj. by Schedule'!G43</f>
        <v>148821952.62048998</v>
      </c>
      <c r="H20" s="83">
        <f>'Actual Total Usage'!H20+'Temp Adj. by Schedule'!H43</f>
        <v>153950136.37762198</v>
      </c>
      <c r="I20" s="83">
        <f>'Actual Total Usage'!I20+'Temp Adj. by Schedule'!I43</f>
        <v>157138902.69171023</v>
      </c>
      <c r="J20" s="83">
        <f>'Actual Total Usage'!J20+'Temp Adj. by Schedule'!J43</f>
        <v>153418347.32874748</v>
      </c>
      <c r="K20" s="83">
        <f>'Actual Total Usage'!K20+'Temp Adj. by Schedule'!K43</f>
        <v>139220915.35741556</v>
      </c>
      <c r="L20" s="83">
        <f>'Actual Total Usage'!L20+'Temp Adj. by Schedule'!L43</f>
        <v>149319345.21694106</v>
      </c>
      <c r="M20" s="83">
        <f>'Actual Total Usage'!M20+'Temp Adj. by Schedule'!M43</f>
        <v>151704896.54002756</v>
      </c>
      <c r="N20" s="62">
        <f>SUM(B20:M20)</f>
        <v>1748992103.2251413</v>
      </c>
      <c r="P20"/>
      <c r="Q20"/>
      <c r="R20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58" t="s">
        <v>32</v>
      </c>
      <c r="B21" s="82">
        <f t="shared" ref="B21:I21" si="6">SUM(B19:B20)</f>
        <v>136413235.77931935</v>
      </c>
      <c r="C21" s="82">
        <f t="shared" si="6"/>
        <v>143800546.8726258</v>
      </c>
      <c r="D21" s="82">
        <f t="shared" si="6"/>
        <v>149595842.3397519</v>
      </c>
      <c r="E21" s="82">
        <f t="shared" si="6"/>
        <v>141564821.43460867</v>
      </c>
      <c r="F21" s="82">
        <f t="shared" si="6"/>
        <v>130548674.83720294</v>
      </c>
      <c r="G21" s="82">
        <f t="shared" si="6"/>
        <v>149797257.80872416</v>
      </c>
      <c r="H21" s="82">
        <f t="shared" si="6"/>
        <v>155026708.6218273</v>
      </c>
      <c r="I21" s="82">
        <f t="shared" si="6"/>
        <v>158696141.46724874</v>
      </c>
      <c r="J21" s="82">
        <f t="shared" ref="J21:M21" si="7">SUM(J19:J20)</f>
        <v>154801815.3309043</v>
      </c>
      <c r="K21" s="82">
        <f t="shared" si="7"/>
        <v>140302985.67134956</v>
      </c>
      <c r="L21" s="82">
        <f t="shared" si="7"/>
        <v>151560185.72561574</v>
      </c>
      <c r="M21" s="82">
        <f t="shared" si="7"/>
        <v>152727171.45620754</v>
      </c>
      <c r="N21" s="142">
        <f>SUM(B21:M21)</f>
        <v>1764835387.3453858</v>
      </c>
    </row>
    <row r="22" spans="1:28">
      <c r="A22" s="5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41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5" t="s">
        <v>38</v>
      </c>
      <c r="B23" s="1">
        <f>'Actual Total Usage'!B23+'Temp Adj. by Schedule'!B44</f>
        <v>2297600.3670280832</v>
      </c>
      <c r="C23" s="1">
        <f>'Actual Total Usage'!C23+'Temp Adj. by Schedule'!C44</f>
        <v>1595407.1397085835</v>
      </c>
      <c r="D23" s="1">
        <f>'Actual Total Usage'!D23+'Temp Adj. by Schedule'!D44</f>
        <v>2207334.0203001248</v>
      </c>
      <c r="E23" s="1">
        <f>'Actual Total Usage'!E23+'Temp Adj. by Schedule'!E44</f>
        <v>2505836.8669085833</v>
      </c>
      <c r="F23" s="1">
        <f>'Actual Total Usage'!F23+'Temp Adj. by Schedule'!F44</f>
        <v>1475659.2827951114</v>
      </c>
      <c r="G23" s="1">
        <f>'Actual Total Usage'!G23+'Temp Adj. by Schedule'!G44</f>
        <v>1261436.8175665278</v>
      </c>
      <c r="H23" s="1">
        <f>'Actual Total Usage'!H23+'Temp Adj. by Schedule'!H44</f>
        <v>2106814.0064635556</v>
      </c>
      <c r="I23" s="1">
        <f>'Actual Total Usage'!I23+'Temp Adj. by Schedule'!I44</f>
        <v>1358878.656253583</v>
      </c>
      <c r="J23" s="1">
        <f>'Actual Total Usage'!J23+'Temp Adj. by Schedule'!J44</f>
        <v>1765574.3053616388</v>
      </c>
      <c r="K23" s="1">
        <f>'Actual Total Usage'!K23+'Temp Adj. by Schedule'!K44</f>
        <v>1549086.1253057504</v>
      </c>
      <c r="L23" s="1">
        <f>'Actual Total Usage'!L23+'Temp Adj. by Schedule'!L44</f>
        <v>1508935.4383556661</v>
      </c>
      <c r="M23" s="1">
        <f>'Actual Total Usage'!M23+'Temp Adj. by Schedule'!M44</f>
        <v>1873383.1979012496</v>
      </c>
      <c r="N23" s="141">
        <f>SUM(B23:M23)</f>
        <v>21505946.223948456</v>
      </c>
    </row>
    <row r="24" spans="1:28" s="56" customFormat="1">
      <c r="A24" s="65" t="s">
        <v>6</v>
      </c>
      <c r="B24" s="83">
        <f>'Actual Total Usage'!B24+'Temp Adj. by Schedule'!B45</f>
        <v>87145340.125968754</v>
      </c>
      <c r="C24" s="83">
        <f>'Actual Total Usage'!C24+'Temp Adj. by Schedule'!C45</f>
        <v>105579464.10324445</v>
      </c>
      <c r="D24" s="83">
        <f>'Actual Total Usage'!D24+'Temp Adj. by Schedule'!D45</f>
        <v>110460517.25164585</v>
      </c>
      <c r="E24" s="83">
        <f>'Actual Total Usage'!E24+'Temp Adj. by Schedule'!E45</f>
        <v>109052149.54125834</v>
      </c>
      <c r="F24" s="83">
        <f>'Actual Total Usage'!F24+'Temp Adj. by Schedule'!F45</f>
        <v>99353145.278096735</v>
      </c>
      <c r="G24" s="83">
        <f>'Actual Total Usage'!G24+'Temp Adj. by Schedule'!G45</f>
        <v>119697456.08922</v>
      </c>
      <c r="H24" s="83">
        <f>'Actual Total Usage'!H24+'Temp Adj. by Schedule'!H45</f>
        <v>111063745.750136</v>
      </c>
      <c r="I24" s="83">
        <f>'Actual Total Usage'!I24+'Temp Adj. by Schedule'!I45</f>
        <v>105039988.44724399</v>
      </c>
      <c r="J24" s="83">
        <f>'Actual Total Usage'!J24+'Temp Adj. by Schedule'!J45</f>
        <v>106243124.678284</v>
      </c>
      <c r="K24" s="83">
        <f>'Actual Total Usage'!K24+'Temp Adj. by Schedule'!K45</f>
        <v>109585559.96833333</v>
      </c>
      <c r="L24" s="83">
        <f>'Actual Total Usage'!L24+'Temp Adj. by Schedule'!L45</f>
        <v>112523002.09828697</v>
      </c>
      <c r="M24" s="83">
        <f>'Actual Total Usage'!M24+'Temp Adj. by Schedule'!M45</f>
        <v>106238865.27999096</v>
      </c>
      <c r="N24" s="62">
        <f>SUM(B24:M24)</f>
        <v>1281982358.6117094</v>
      </c>
      <c r="P24"/>
      <c r="Q24"/>
      <c r="R24"/>
    </row>
    <row r="25" spans="1:28">
      <c r="A25" s="58" t="s">
        <v>33</v>
      </c>
      <c r="B25" s="82">
        <f t="shared" ref="B25:I25" si="8">SUM(B23:B24)</f>
        <v>89442940.492996842</v>
      </c>
      <c r="C25" s="82">
        <f t="shared" si="8"/>
        <v>107174871.24295303</v>
      </c>
      <c r="D25" s="82">
        <f t="shared" si="8"/>
        <v>112667851.27194597</v>
      </c>
      <c r="E25" s="82">
        <f t="shared" si="8"/>
        <v>111557986.40816692</v>
      </c>
      <c r="F25" s="82">
        <f t="shared" si="8"/>
        <v>100828804.56089185</v>
      </c>
      <c r="G25" s="82">
        <f t="shared" si="8"/>
        <v>120958892.90678653</v>
      </c>
      <c r="H25" s="82">
        <f t="shared" si="8"/>
        <v>113170559.75659956</v>
      </c>
      <c r="I25" s="82">
        <f t="shared" si="8"/>
        <v>106398867.10349756</v>
      </c>
      <c r="J25" s="82">
        <f t="shared" ref="J25:M25" si="9">SUM(J23:J24)</f>
        <v>108008698.98364565</v>
      </c>
      <c r="K25" s="82">
        <f t="shared" si="9"/>
        <v>111134646.09363909</v>
      </c>
      <c r="L25" s="82">
        <f t="shared" si="9"/>
        <v>114031937.53664264</v>
      </c>
      <c r="M25" s="82">
        <f t="shared" si="9"/>
        <v>108112248.47789221</v>
      </c>
      <c r="N25" s="142">
        <f>SUM(N23:N24)</f>
        <v>1303488304.8356578</v>
      </c>
    </row>
    <row r="26" spans="1:28">
      <c r="A26" s="5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41"/>
    </row>
    <row r="27" spans="1:28" s="67" customFormat="1">
      <c r="A27" s="70" t="s">
        <v>8</v>
      </c>
      <c r="B27" s="1">
        <f>'Actual Total Usage'!B27+'Temp Adj. by Schedule'!B47</f>
        <v>11312664.207079496</v>
      </c>
      <c r="C27" s="1">
        <f>'Actual Total Usage'!C27+'Temp Adj. by Schedule'!C47</f>
        <v>10554413.111151502</v>
      </c>
      <c r="D27" s="1">
        <f>'Actual Total Usage'!D27+'Temp Adj. by Schedule'!D47</f>
        <v>14326666.881074749</v>
      </c>
      <c r="E27" s="1">
        <f>'Actual Total Usage'!E27+'Temp Adj. by Schedule'!E47</f>
        <v>13672672.498805501</v>
      </c>
      <c r="F27" s="1">
        <f>'Actual Total Usage'!F27+'Temp Adj. by Schedule'!F47</f>
        <v>9021929.4783897512</v>
      </c>
      <c r="G27" s="1">
        <f>'Actual Total Usage'!G27+'Temp Adj. by Schedule'!G47</f>
        <v>9328095.92958875</v>
      </c>
      <c r="H27" s="1">
        <f>'Actual Total Usage'!H27+'Temp Adj. by Schedule'!H47</f>
        <v>8316783.8790280009</v>
      </c>
      <c r="I27" s="1">
        <f>'Actual Total Usage'!I27+'Temp Adj. by Schedule'!I47</f>
        <v>5298184.8878802489</v>
      </c>
      <c r="J27" s="1">
        <f>'Actual Total Usage'!J27+'Temp Adj. by Schedule'!J47</f>
        <v>6694227.9450327503</v>
      </c>
      <c r="K27" s="1">
        <f>'Actual Total Usage'!K27+'Temp Adj. by Schedule'!K47</f>
        <v>6835770.7269535027</v>
      </c>
      <c r="L27" s="1">
        <f>'Actual Total Usage'!L27+'Temp Adj. by Schedule'!L47</f>
        <v>11653125.706761993</v>
      </c>
      <c r="M27" s="1">
        <f>'Actual Total Usage'!M27+'Temp Adj. by Schedule'!M47</f>
        <v>9367385.2669687439</v>
      </c>
      <c r="N27" s="144">
        <f t="shared" ref="N27:N28" si="10">SUM(B27:M27)</f>
        <v>116381920.51871498</v>
      </c>
      <c r="P27"/>
      <c r="Q27"/>
      <c r="R27"/>
    </row>
    <row r="28" spans="1:28">
      <c r="A28" s="64" t="s">
        <v>50</v>
      </c>
      <c r="B28" s="1">
        <f>'Actual Total Usage'!B28+'Temp Adj. by Schedule'!B48</f>
        <v>935353.57505833323</v>
      </c>
      <c r="C28" s="1">
        <f>'Actual Total Usage'!C28+'Temp Adj. by Schedule'!C48</f>
        <v>922549.20457717788</v>
      </c>
      <c r="D28" s="1">
        <f>'Actual Total Usage'!D28+'Temp Adj. by Schedule'!D48</f>
        <v>944625.85241574445</v>
      </c>
      <c r="E28" s="1">
        <f>'Actual Total Usage'!E28+'Temp Adj. by Schedule'!E48</f>
        <v>849884.00258633331</v>
      </c>
      <c r="F28" s="1">
        <f>'Actual Total Usage'!F28+'Temp Adj. by Schedule'!F48</f>
        <v>631257.68762824452</v>
      </c>
      <c r="G28" s="1">
        <f>'Actual Total Usage'!G28+'Temp Adj. by Schedule'!G48</f>
        <v>438860</v>
      </c>
      <c r="H28" s="1">
        <f>'Actual Total Usage'!H28+'Temp Adj. by Schedule'!H48</f>
        <v>332660</v>
      </c>
      <c r="I28" s="1">
        <f>'Actual Total Usage'!I28+'Temp Adj. by Schedule'!I48</f>
        <v>284420</v>
      </c>
      <c r="J28" s="1">
        <f>'Actual Total Usage'!J28+'Temp Adj. by Schedule'!J48</f>
        <v>285040</v>
      </c>
      <c r="K28" s="1">
        <f>'Actual Total Usage'!K28+'Temp Adj. by Schedule'!K48</f>
        <v>323086.597694689</v>
      </c>
      <c r="L28" s="1">
        <f>'Actual Total Usage'!L28+'Temp Adj. by Schedule'!L48</f>
        <v>551397.0650793775</v>
      </c>
      <c r="M28" s="1">
        <f>'Actual Total Usage'!M28+'Temp Adj. by Schedule'!M48</f>
        <v>686379.12762455549</v>
      </c>
      <c r="N28" s="141">
        <f t="shared" si="10"/>
        <v>7185513.1126644565</v>
      </c>
    </row>
    <row r="29" spans="1:28">
      <c r="A29" s="5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43"/>
    </row>
    <row r="30" spans="1:28" s="59" customFormat="1">
      <c r="A30" s="64" t="s">
        <v>20</v>
      </c>
      <c r="B30" s="82">
        <f t="shared" ref="B30:N30" si="11">SUM(B9,B13,B17,B21,B25,B27:B28)</f>
        <v>1973231246.558356</v>
      </c>
      <c r="C30" s="82">
        <f t="shared" si="11"/>
        <v>1886985202.0380952</v>
      </c>
      <c r="D30" s="82">
        <f t="shared" si="11"/>
        <v>1932225173.5531116</v>
      </c>
      <c r="E30" s="82">
        <f t="shared" si="11"/>
        <v>1811292086.5656822</v>
      </c>
      <c r="F30" s="82">
        <f t="shared" si="11"/>
        <v>1449070802.9324841</v>
      </c>
      <c r="G30" s="82">
        <f t="shared" si="11"/>
        <v>1400573832.6849487</v>
      </c>
      <c r="H30" s="82">
        <f t="shared" si="11"/>
        <v>1564366830.7301688</v>
      </c>
      <c r="I30" s="82">
        <f t="shared" si="11"/>
        <v>1489304601.4225843</v>
      </c>
      <c r="J30" s="82">
        <f t="shared" si="11"/>
        <v>1472695160.0946193</v>
      </c>
      <c r="K30" s="82">
        <f t="shared" si="11"/>
        <v>1444543693.321682</v>
      </c>
      <c r="L30" s="82">
        <f t="shared" si="11"/>
        <v>1725439436.0736263</v>
      </c>
      <c r="M30" s="82">
        <f t="shared" si="11"/>
        <v>1847523867.6109414</v>
      </c>
      <c r="N30" s="142">
        <f t="shared" si="11"/>
        <v>19997251933.5863</v>
      </c>
      <c r="O30" s="60"/>
      <c r="P30"/>
      <c r="Q30"/>
      <c r="R30"/>
    </row>
    <row r="31" spans="1:28" s="59" customFormat="1">
      <c r="A31" s="64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/>
      <c r="Q31"/>
      <c r="R31"/>
    </row>
    <row r="32" spans="1:28">
      <c r="A32" t="s">
        <v>42</v>
      </c>
      <c r="B32" s="53">
        <f>IF(B30=0,0,B30/'Actual Total Usage'!B30-1)</f>
        <v>3.0104902064165051E-2</v>
      </c>
      <c r="C32" s="53">
        <f>IF(C30=0,0,C30/'Actual Total Usage'!C30-1)</f>
        <v>-2.3766638930175721E-2</v>
      </c>
      <c r="D32" s="53">
        <f>IF(D30=0,0,D30/'Actual Total Usage'!D30-1)</f>
        <v>-3.1546240430209149E-3</v>
      </c>
      <c r="E32" s="53">
        <f>IF(E30=0,0,E30/'Actual Total Usage'!E30-1)</f>
        <v>2.9791854169265219E-2</v>
      </c>
      <c r="F32" s="53">
        <f>IF(F30=0,0,F30/'Actual Total Usage'!F30-1)</f>
        <v>5.0437827556839565E-3</v>
      </c>
      <c r="G32" s="53">
        <f>IF(G30=0,0,G30/'Actual Total Usage'!G30-1)</f>
        <v>-5.864678688127789E-2</v>
      </c>
      <c r="H32" s="53">
        <f>IF(H30=0,0,H30/'Actual Total Usage'!H30-1)</f>
        <v>-1.280418622156887E-2</v>
      </c>
      <c r="I32" s="53">
        <f>IF(I30=0,0,I30/'Actual Total Usage'!I30-1)</f>
        <v>-8.5291812683674362E-3</v>
      </c>
      <c r="J32" s="53">
        <f>IF(J30=0,0,J30/'Actual Total Usage'!J30-1)</f>
        <v>2.0013391711088957E-3</v>
      </c>
      <c r="K32" s="53">
        <f>IF(K30=0,0,K30/'Actual Total Usage'!K30-1)</f>
        <v>-1.0168149817776362E-2</v>
      </c>
      <c r="L32" s="53">
        <f>IF(L30=0,0,L30/'Actual Total Usage'!L30-1)</f>
        <v>2.7890445026725219E-2</v>
      </c>
      <c r="M32" s="53">
        <f>IF(M30=0,0,M30/'Actual Total Usage'!M30-1)</f>
        <v>-5.3283954946876877E-2</v>
      </c>
      <c r="N32" s="53">
        <f>N30/'Actual Total Usage'!N30-1</f>
        <v>-6.1693593479176245E-3</v>
      </c>
    </row>
    <row r="33" spans="1:17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>
      <c r="A34" s="55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>
      <c r="A35" s="43" t="s">
        <v>25</v>
      </c>
      <c r="B35" s="39">
        <f t="shared" ref="B35:M35" si="12">B7</f>
        <v>44197</v>
      </c>
      <c r="C35" s="39">
        <f t="shared" si="12"/>
        <v>44228</v>
      </c>
      <c r="D35" s="39">
        <f t="shared" si="12"/>
        <v>44256</v>
      </c>
      <c r="E35" s="39">
        <f t="shared" si="12"/>
        <v>44287</v>
      </c>
      <c r="F35" s="39">
        <f t="shared" si="12"/>
        <v>44317</v>
      </c>
      <c r="G35" s="39">
        <f t="shared" si="12"/>
        <v>44348</v>
      </c>
      <c r="H35" s="39">
        <f t="shared" si="12"/>
        <v>44378</v>
      </c>
      <c r="I35" s="39">
        <f t="shared" si="12"/>
        <v>44409</v>
      </c>
      <c r="J35" s="39">
        <f t="shared" si="12"/>
        <v>44440</v>
      </c>
      <c r="K35" s="39">
        <f t="shared" si="12"/>
        <v>44470</v>
      </c>
      <c r="L35" s="39">
        <f t="shared" si="12"/>
        <v>44501</v>
      </c>
      <c r="M35" s="39">
        <f t="shared" si="12"/>
        <v>44531</v>
      </c>
      <c r="N35" s="54" t="s">
        <v>19</v>
      </c>
    </row>
    <row r="36" spans="1:17">
      <c r="A36" s="44" t="s">
        <v>21</v>
      </c>
      <c r="B36" s="1">
        <f>'Actual Total Usage'!B35</f>
        <v>5492547.6520000016</v>
      </c>
      <c r="C36" s="1">
        <f>'Actual Total Usage'!C35</f>
        <v>5554887.4879999999</v>
      </c>
      <c r="D36" s="1">
        <f>'Actual Total Usage'!D35</f>
        <v>6022390.3779999996</v>
      </c>
      <c r="E36" s="1">
        <f>'Actual Total Usage'!E35</f>
        <v>5782065.4799999995</v>
      </c>
      <c r="F36" s="1">
        <f>'Actual Total Usage'!F35</f>
        <v>4904920.8459999999</v>
      </c>
      <c r="G36" s="1">
        <f>'Actual Total Usage'!G35</f>
        <v>5916070.8030000003</v>
      </c>
      <c r="H36" s="1">
        <f>'Actual Total Usage'!H35</f>
        <v>6435976.3790000007</v>
      </c>
      <c r="I36" s="1">
        <f>'Actual Total Usage'!I35</f>
        <v>5234448.6249999981</v>
      </c>
      <c r="J36" s="1">
        <f>'Actual Total Usage'!J35</f>
        <v>4688701.9610000011</v>
      </c>
      <c r="K36" s="1">
        <f>'Actual Total Usage'!K35</f>
        <v>6237168.6469999999</v>
      </c>
      <c r="L36" s="1">
        <f>'Actual Total Usage'!L35</f>
        <v>5144726.5819999995</v>
      </c>
      <c r="M36" s="1">
        <f>'Actual Total Usage'!M35</f>
        <v>5915163.5000000009</v>
      </c>
      <c r="N36" s="1">
        <f>SUM(B36:M36)</f>
        <v>67329068.341000006</v>
      </c>
    </row>
    <row r="37" spans="1:17">
      <c r="A37" s="44" t="s">
        <v>39</v>
      </c>
      <c r="B37" s="1">
        <f>'Actual Total Usage'!B36</f>
        <v>21505781.832000002</v>
      </c>
      <c r="C37" s="1">
        <f>'Actual Total Usage'!C36</f>
        <v>79557938.265000001</v>
      </c>
      <c r="D37" s="1">
        <f>'Actual Total Usage'!D36</f>
        <v>28735665.606999997</v>
      </c>
      <c r="E37" s="1">
        <f>'Actual Total Usage'!E36</f>
        <v>45862397.206</v>
      </c>
      <c r="F37" s="1">
        <f>'Actual Total Usage'!F36</f>
        <v>56391545.413999997</v>
      </c>
      <c r="G37" s="1">
        <f>'Actual Total Usage'!G36</f>
        <v>52794299.651999995</v>
      </c>
      <c r="H37" s="1">
        <f>'Actual Total Usage'!H36</f>
        <v>51290042.205000006</v>
      </c>
      <c r="I37" s="1">
        <f>'Actual Total Usage'!I36</f>
        <v>42833582.866999999</v>
      </c>
      <c r="J37" s="1">
        <f>'Actual Total Usage'!J36</f>
        <v>58441738.920000002</v>
      </c>
      <c r="K37" s="1">
        <f>'Actual Total Usage'!K36</f>
        <v>54795032.277999997</v>
      </c>
      <c r="L37" s="1">
        <f>'Actual Total Usage'!L36</f>
        <v>73419955.623999998</v>
      </c>
      <c r="M37" s="1">
        <f>'Actual Total Usage'!M36</f>
        <v>31248771.395000003</v>
      </c>
      <c r="N37" s="1">
        <f>SUM(B37:M37)</f>
        <v>596876751.26499999</v>
      </c>
    </row>
    <row r="38" spans="1:17">
      <c r="A38" s="44" t="s">
        <v>7</v>
      </c>
      <c r="B38" s="1">
        <f>'Actual Total Usage'!B37</f>
        <v>5820</v>
      </c>
      <c r="C38" s="1">
        <f>'Actual Total Usage'!C37</f>
        <v>9300</v>
      </c>
      <c r="D38" s="1">
        <f>'Actual Total Usage'!D37</f>
        <v>9900</v>
      </c>
      <c r="E38" s="1">
        <f>'Actual Total Usage'!E37</f>
        <v>6120</v>
      </c>
      <c r="F38" s="1">
        <f>'Actual Total Usage'!F37</f>
        <v>391320</v>
      </c>
      <c r="G38" s="1">
        <f>'Actual Total Usage'!G37</f>
        <v>678180</v>
      </c>
      <c r="H38" s="1">
        <f>'Actual Total Usage'!H37</f>
        <v>745080</v>
      </c>
      <c r="I38" s="1">
        <f>'Actual Total Usage'!I37</f>
        <v>0</v>
      </c>
      <c r="J38" s="1">
        <f>'Actual Total Usage'!J37</f>
        <v>0</v>
      </c>
      <c r="K38" s="1">
        <f>'Actual Total Usage'!K37</f>
        <v>2466166.44</v>
      </c>
      <c r="L38" s="1">
        <f>'Actual Total Usage'!L37</f>
        <v>270000</v>
      </c>
      <c r="M38" s="1">
        <f>'Actual Total Usage'!M37</f>
        <v>15913.56</v>
      </c>
      <c r="N38" s="1">
        <f>SUM(B38:M38)</f>
        <v>4597799.9999999991</v>
      </c>
    </row>
    <row r="39" spans="1:17">
      <c r="A39" s="44" t="s">
        <v>130</v>
      </c>
      <c r="B39" s="1">
        <f>'Actual Total Usage'!B38</f>
        <v>0</v>
      </c>
      <c r="C39" s="1">
        <f>'Actual Total Usage'!C38</f>
        <v>47436905.559</v>
      </c>
      <c r="D39" s="1">
        <f>'Actual Total Usage'!D38</f>
        <v>247949.856</v>
      </c>
      <c r="E39" s="1">
        <f>'Actual Total Usage'!E38</f>
        <v>24476462.294</v>
      </c>
      <c r="F39" s="1">
        <f>'Actual Total Usage'!F38</f>
        <v>22171246.188999999</v>
      </c>
      <c r="G39" s="1">
        <f>'Actual Total Usage'!G38</f>
        <v>21958511.208000001</v>
      </c>
      <c r="H39" s="1">
        <f>'Actual Total Usage'!H38</f>
        <v>23058723.956999999</v>
      </c>
      <c r="I39" s="1">
        <f>'Actual Total Usage'!I38</f>
        <v>23850790.868000001</v>
      </c>
      <c r="J39" s="1">
        <f>'Actual Total Usage'!J38</f>
        <v>24145778.601</v>
      </c>
      <c r="K39" s="1">
        <f>'Actual Total Usage'!K38</f>
        <v>22009194.785999998</v>
      </c>
      <c r="L39" s="1">
        <f>'Actual Total Usage'!L38</f>
        <v>41332532.652000003</v>
      </c>
      <c r="M39" s="1">
        <f>'Actual Total Usage'!M38</f>
        <v>4939071.3130000001</v>
      </c>
      <c r="N39" s="1">
        <f>SUM(B39:M39)</f>
        <v>255627167.28300002</v>
      </c>
    </row>
    <row r="40" spans="1:17">
      <c r="A40" s="58" t="s">
        <v>5</v>
      </c>
      <c r="B40" s="1">
        <f>'Actual Total Usage'!B39+'Temp Adj. by Schedule'!B46</f>
        <v>319014.89500000002</v>
      </c>
      <c r="C40" s="1">
        <f>'Actual Total Usage'!C39+'Temp Adj. by Schedule'!C46</f>
        <v>392966.973</v>
      </c>
      <c r="D40" s="1">
        <f>'Actual Total Usage'!D39+'Temp Adj. by Schedule'!D46</f>
        <v>202175.46299999999</v>
      </c>
      <c r="E40" s="1">
        <f>'Actual Total Usage'!E39+'Temp Adj. by Schedule'!E46</f>
        <v>550146.01199999999</v>
      </c>
      <c r="F40" s="1">
        <f>'Actual Total Usage'!F39+'Temp Adj. by Schedule'!F46</f>
        <v>883559.995</v>
      </c>
      <c r="G40" s="1">
        <f>'Actual Total Usage'!G39+'Temp Adj. by Schedule'!G46</f>
        <v>1503978.6040000001</v>
      </c>
      <c r="H40" s="1">
        <f>'Actual Total Usage'!H39+'Temp Adj. by Schedule'!H46</f>
        <v>2917794.5819999999</v>
      </c>
      <c r="I40" s="1">
        <f>'Actual Total Usage'!I39+'Temp Adj. by Schedule'!I46</f>
        <v>4593520.6050000004</v>
      </c>
      <c r="J40" s="1">
        <f>'Actual Total Usage'!J39+'Temp Adj. by Schedule'!J46</f>
        <v>2783118.04</v>
      </c>
      <c r="K40" s="1">
        <f>'Actual Total Usage'!K39+'Temp Adj. by Schedule'!K46</f>
        <v>1404147.6740000001</v>
      </c>
      <c r="L40" s="1">
        <f>'Actual Total Usage'!L39+'Temp Adj. by Schedule'!L46</f>
        <v>473818.58600000001</v>
      </c>
      <c r="M40" s="1">
        <f>'Actual Total Usage'!M39+'Temp Adj. by Schedule'!M46</f>
        <v>587966.64099999995</v>
      </c>
      <c r="N40" s="141">
        <f>SUM(B40:M40)</f>
        <v>16612208.07</v>
      </c>
    </row>
    <row r="41" spans="1:17">
      <c r="A41" s="4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7">
      <c r="A42" s="64" t="s">
        <v>20</v>
      </c>
      <c r="B42" s="82">
        <f t="shared" ref="B42:M42" si="13">SUM(B36:B40)</f>
        <v>27323164.379000004</v>
      </c>
      <c r="C42" s="82">
        <f t="shared" si="13"/>
        <v>132951998.28500001</v>
      </c>
      <c r="D42" s="82">
        <f t="shared" si="13"/>
        <v>35218081.303999998</v>
      </c>
      <c r="E42" s="82">
        <f t="shared" si="13"/>
        <v>76677190.991999984</v>
      </c>
      <c r="F42" s="82">
        <f t="shared" si="13"/>
        <v>84742592.444000006</v>
      </c>
      <c r="G42" s="82">
        <f t="shared" si="13"/>
        <v>82851040.267000005</v>
      </c>
      <c r="H42" s="82">
        <f t="shared" si="13"/>
        <v>84447617.123000011</v>
      </c>
      <c r="I42" s="82">
        <f t="shared" si="13"/>
        <v>76512342.965000004</v>
      </c>
      <c r="J42" s="82">
        <f t="shared" si="13"/>
        <v>90059337.522000015</v>
      </c>
      <c r="K42" s="82">
        <f t="shared" si="13"/>
        <v>86911709.824999988</v>
      </c>
      <c r="L42" s="82">
        <f t="shared" si="13"/>
        <v>120641033.44400001</v>
      </c>
      <c r="M42" s="82">
        <f t="shared" si="13"/>
        <v>42706886.409000009</v>
      </c>
      <c r="N42" s="82">
        <f>SUM(N36:N40)</f>
        <v>941042994.95899999</v>
      </c>
    </row>
    <row r="43" spans="1:17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7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7" s="63" customFormat="1" ht="13.8" thickBot="1">
      <c r="A45" s="61" t="s">
        <v>22</v>
      </c>
      <c r="B45" s="81">
        <f t="shared" ref="B45:N45" si="14">B42+B30</f>
        <v>2000554410.937356</v>
      </c>
      <c r="C45" s="81">
        <f t="shared" si="14"/>
        <v>2019937200.3230953</v>
      </c>
      <c r="D45" s="81">
        <f t="shared" si="14"/>
        <v>1967443254.8571115</v>
      </c>
      <c r="E45" s="81">
        <f t="shared" si="14"/>
        <v>1887969277.557682</v>
      </c>
      <c r="F45" s="81">
        <f t="shared" si="14"/>
        <v>1533813395.3764842</v>
      </c>
      <c r="G45" s="81">
        <f t="shared" si="14"/>
        <v>1483424872.9519486</v>
      </c>
      <c r="H45" s="81">
        <f t="shared" si="14"/>
        <v>1648814447.8531687</v>
      </c>
      <c r="I45" s="81">
        <f t="shared" si="14"/>
        <v>1565816944.3875842</v>
      </c>
      <c r="J45" s="81">
        <f t="shared" si="14"/>
        <v>1562754497.6166193</v>
      </c>
      <c r="K45" s="81">
        <f t="shared" si="14"/>
        <v>1531455403.146682</v>
      </c>
      <c r="L45" s="81">
        <f t="shared" si="14"/>
        <v>1846080469.5176263</v>
      </c>
      <c r="M45" s="81">
        <f t="shared" si="14"/>
        <v>1890230754.0199413</v>
      </c>
      <c r="N45" s="81">
        <f t="shared" si="14"/>
        <v>20938294928.5453</v>
      </c>
      <c r="Q45"/>
    </row>
    <row r="46" spans="1:17" ht="15.6" thickTop="1">
      <c r="A46" s="9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7">
      <c r="B47" s="170"/>
      <c r="C47" s="170"/>
      <c r="D47" s="170"/>
      <c r="E47" s="170"/>
      <c r="F47" s="170"/>
      <c r="G47" s="170"/>
      <c r="H47" s="170"/>
      <c r="I47" s="170"/>
    </row>
    <row r="48" spans="1:17">
      <c r="B48" s="170"/>
      <c r="C48" s="170"/>
      <c r="D48" s="170"/>
      <c r="E48" s="170"/>
      <c r="F48" s="170"/>
      <c r="G48" s="170"/>
      <c r="H48" s="170"/>
      <c r="I48" s="170"/>
    </row>
    <row r="49" spans="2:9">
      <c r="B49" s="170"/>
      <c r="C49" s="170"/>
      <c r="D49" s="170"/>
      <c r="E49" s="170"/>
      <c r="F49" s="170"/>
      <c r="G49" s="170"/>
      <c r="H49" s="170"/>
      <c r="I49" s="170"/>
    </row>
    <row r="50" spans="2:9">
      <c r="B50" s="170"/>
      <c r="C50" s="170"/>
      <c r="D50" s="170"/>
      <c r="E50" s="170"/>
      <c r="F50" s="170"/>
      <c r="G50" s="170"/>
      <c r="H50" s="170"/>
      <c r="I50" s="170"/>
    </row>
    <row r="51" spans="2:9">
      <c r="B51" s="170"/>
      <c r="C51" s="170"/>
      <c r="D51" s="170"/>
      <c r="E51" s="170"/>
      <c r="F51" s="170"/>
      <c r="G51" s="170"/>
      <c r="H51" s="170"/>
      <c r="I51" s="170"/>
    </row>
    <row r="52" spans="2:9">
      <c r="B52" s="170"/>
      <c r="C52" s="170"/>
      <c r="D52" s="170"/>
      <c r="E52" s="170"/>
      <c r="F52" s="170"/>
      <c r="G52" s="170"/>
      <c r="H52" s="170"/>
      <c r="I52" s="170"/>
    </row>
    <row r="54" spans="2:9">
      <c r="B54" s="170"/>
      <c r="C54" s="170"/>
      <c r="D54" s="170"/>
      <c r="E54" s="170"/>
      <c r="F54" s="170"/>
      <c r="G54" s="170"/>
      <c r="H54" s="170"/>
      <c r="I54" s="170"/>
    </row>
    <row r="55" spans="2:9">
      <c r="B55" s="170"/>
      <c r="C55" s="170"/>
      <c r="D55" s="170"/>
      <c r="E55" s="170"/>
      <c r="F55" s="170"/>
      <c r="G55" s="170"/>
      <c r="H55" s="170"/>
      <c r="I55" s="170"/>
    </row>
  </sheetData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opLeftCell="A13" workbookViewId="0">
      <selection activeCell="D40" sqref="D40"/>
    </sheetView>
  </sheetViews>
  <sheetFormatPr defaultRowHeight="13.2"/>
  <cols>
    <col min="1" max="1" width="27.6640625" customWidth="1"/>
    <col min="2" max="14" width="16" customWidth="1"/>
  </cols>
  <sheetData>
    <row r="1" spans="1:28">
      <c r="A1" s="43" t="s">
        <v>28</v>
      </c>
    </row>
    <row r="2" spans="1:28">
      <c r="A2" s="43" t="s">
        <v>27</v>
      </c>
    </row>
    <row r="3" spans="1:28">
      <c r="A3" s="59" t="s">
        <v>123</v>
      </c>
    </row>
    <row r="4" spans="1:28">
      <c r="A4" s="76" t="s">
        <v>51</v>
      </c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>
      <c r="A6" s="55" t="s">
        <v>24</v>
      </c>
    </row>
    <row r="7" spans="1:28">
      <c r="A7" s="43" t="s">
        <v>25</v>
      </c>
      <c r="B7" s="39">
        <f>'Sales &amp; Revenue Adj.'!C5</f>
        <v>44197</v>
      </c>
      <c r="C7" s="39">
        <f>'Sales &amp; Revenue Adj.'!D5</f>
        <v>44228</v>
      </c>
      <c r="D7" s="39">
        <f>'Sales &amp; Revenue Adj.'!E5</f>
        <v>44256</v>
      </c>
      <c r="E7" s="39">
        <f>'Sales &amp; Revenue Adj.'!F5</f>
        <v>44287</v>
      </c>
      <c r="F7" s="39">
        <f>'Sales &amp; Revenue Adj.'!G5</f>
        <v>44317</v>
      </c>
      <c r="G7" s="39">
        <f>'Sales &amp; Revenue Adj.'!H5</f>
        <v>44348</v>
      </c>
      <c r="H7" s="39">
        <f>'Sales &amp; Revenue Adj.'!I5</f>
        <v>44378</v>
      </c>
      <c r="I7" s="39">
        <f>'Sales &amp; Revenue Adj.'!J5</f>
        <v>44409</v>
      </c>
      <c r="J7" s="39">
        <f>'Sales &amp; Revenue Adj.'!K5</f>
        <v>44440</v>
      </c>
      <c r="K7" s="39">
        <f>'Sales &amp; Revenue Adj.'!L5</f>
        <v>44470</v>
      </c>
      <c r="L7" s="39">
        <f>'Sales &amp; Revenue Adj.'!M5</f>
        <v>44501</v>
      </c>
      <c r="M7" s="39">
        <f>'Sales &amp; Revenue Adj.'!N5</f>
        <v>44531</v>
      </c>
      <c r="N7" s="54" t="s">
        <v>19</v>
      </c>
    </row>
    <row r="8" spans="1:28">
      <c r="A8" s="65" t="s">
        <v>111</v>
      </c>
      <c r="B8" s="41">
        <f>'SAP BW Actual Usage'!C9</f>
        <v>1225129863.6289999</v>
      </c>
      <c r="C8" s="41">
        <f>'SAP BW Actual Usage'!D9</f>
        <v>1184508190.4649999</v>
      </c>
      <c r="D8" s="41">
        <f>'SAP BW Actual Usage'!E9</f>
        <v>1180047669.4449999</v>
      </c>
      <c r="E8" s="41">
        <f>'SAP BW Actual Usage'!F9</f>
        <v>1011554637.399</v>
      </c>
      <c r="F8" s="41">
        <f>'SAP BW Actual Usage'!G9</f>
        <v>795031672.11399996</v>
      </c>
      <c r="G8" s="41">
        <f>'SAP BW Actual Usage'!H9</f>
        <v>740642244.37399995</v>
      </c>
      <c r="H8" s="41">
        <f>'SAP BW Actual Usage'!I9</f>
        <v>819671265.23300004</v>
      </c>
      <c r="I8" s="41">
        <f>'SAP BW Actual Usage'!J9</f>
        <v>770828127.00399995</v>
      </c>
      <c r="J8" s="41">
        <f>'SAP BW Actual Usage'!K9</f>
        <v>742748136.39699996</v>
      </c>
      <c r="K8" s="41">
        <f>'SAP BW Actual Usage'!L9</f>
        <v>759044638.75999999</v>
      </c>
      <c r="L8" s="41">
        <f>'SAP BW Actual Usage'!M9</f>
        <v>941045000.995</v>
      </c>
      <c r="M8" s="41">
        <f>'SAP BW Actual Usage'!N9</f>
        <v>1173161196.306</v>
      </c>
      <c r="N8" s="141">
        <f t="shared" ref="N8:N9" si="0">SUM(B8:M8)</f>
        <v>11343412642.121</v>
      </c>
    </row>
    <row r="9" spans="1:28">
      <c r="A9" s="58" t="s">
        <v>29</v>
      </c>
      <c r="B9" s="80">
        <f t="shared" ref="B9:M9" si="1">SUM(B8:B8)</f>
        <v>1225129863.6289999</v>
      </c>
      <c r="C9" s="80">
        <f t="shared" si="1"/>
        <v>1184508190.4649999</v>
      </c>
      <c r="D9" s="80">
        <f t="shared" si="1"/>
        <v>1180047669.4449999</v>
      </c>
      <c r="E9" s="80">
        <f t="shared" si="1"/>
        <v>1011554637.399</v>
      </c>
      <c r="F9" s="80">
        <f t="shared" si="1"/>
        <v>795031672.11399996</v>
      </c>
      <c r="G9" s="80">
        <f t="shared" si="1"/>
        <v>740642244.37399995</v>
      </c>
      <c r="H9" s="80">
        <f t="shared" si="1"/>
        <v>819671265.23300004</v>
      </c>
      <c r="I9" s="80">
        <f t="shared" si="1"/>
        <v>770828127.00399995</v>
      </c>
      <c r="J9" s="80">
        <f t="shared" si="1"/>
        <v>742748136.39699996</v>
      </c>
      <c r="K9" s="80">
        <f t="shared" si="1"/>
        <v>759044638.75999999</v>
      </c>
      <c r="L9" s="80">
        <f t="shared" si="1"/>
        <v>941045000.995</v>
      </c>
      <c r="M9" s="80">
        <f t="shared" si="1"/>
        <v>1173161196.306</v>
      </c>
      <c r="N9" s="142">
        <f t="shared" si="0"/>
        <v>11343412642.121</v>
      </c>
    </row>
    <row r="10" spans="1:28">
      <c r="A10" s="5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143"/>
    </row>
    <row r="11" spans="1:28">
      <c r="A11" s="65" t="s">
        <v>35</v>
      </c>
      <c r="B11" s="41">
        <f>'SAP BW Actual Usage'!C10</f>
        <v>25951055.204</v>
      </c>
      <c r="C11" s="41">
        <f>'SAP BW Actual Usage'!D10</f>
        <v>25513558.454</v>
      </c>
      <c r="D11" s="41">
        <f>'SAP BW Actual Usage'!E10</f>
        <v>25011119.390999999</v>
      </c>
      <c r="E11" s="41">
        <f>'SAP BW Actual Usage'!F10</f>
        <v>23854014.18</v>
      </c>
      <c r="F11" s="41">
        <f>'SAP BW Actual Usage'!G10</f>
        <v>17990840.133000001</v>
      </c>
      <c r="G11" s="41">
        <f>'SAP BW Actual Usage'!H10</f>
        <v>18566794.929000001</v>
      </c>
      <c r="H11" s="41">
        <f>'SAP BW Actual Usage'!I10</f>
        <v>18883802.682999998</v>
      </c>
      <c r="I11" s="41">
        <f>'SAP BW Actual Usage'!J10</f>
        <v>18572067.642999999</v>
      </c>
      <c r="J11" s="41">
        <f>'SAP BW Actual Usage'!K10</f>
        <v>17832970.02</v>
      </c>
      <c r="K11" s="41">
        <f>'SAP BW Actual Usage'!L10</f>
        <v>18388752.732000001</v>
      </c>
      <c r="L11" s="41">
        <f>'SAP BW Actual Usage'!M10</f>
        <v>21059601.660999998</v>
      </c>
      <c r="M11" s="41">
        <f>'SAP BW Actual Usage'!N10</f>
        <v>25150997.548</v>
      </c>
      <c r="N11" s="141">
        <f>SUM(B11:M11)</f>
        <v>256775574.57800004</v>
      </c>
    </row>
    <row r="12" spans="1:28" s="56" customFormat="1">
      <c r="A12" s="65" t="s">
        <v>108</v>
      </c>
      <c r="B12" s="60">
        <f>'SAP BW Actual Usage'!C14</f>
        <v>202228214.89399999</v>
      </c>
      <c r="C12" s="60">
        <f>'SAP BW Actual Usage'!D14</f>
        <v>214833202.66600001</v>
      </c>
      <c r="D12" s="60">
        <f>'SAP BW Actual Usage'!E14</f>
        <v>206395713.59500003</v>
      </c>
      <c r="E12" s="60">
        <f>'SAP BW Actual Usage'!F14</f>
        <v>216759924.70199999</v>
      </c>
      <c r="F12" s="60">
        <f>'SAP BW Actual Usage'!G14</f>
        <v>172181442.627</v>
      </c>
      <c r="G12" s="60">
        <f>'SAP BW Actual Usage'!H14</f>
        <v>204779736.141</v>
      </c>
      <c r="H12" s="60">
        <f>'SAP BW Actual Usage'!I14</f>
        <v>214062505.45499998</v>
      </c>
      <c r="I12" s="60">
        <f>'SAP BW Actual Usage'!J14</f>
        <v>197102463.97800002</v>
      </c>
      <c r="J12" s="60">
        <f>'SAP BW Actual Usage'!K14</f>
        <v>194137190.52500001</v>
      </c>
      <c r="K12" s="60">
        <f>'SAP BW Actual Usage'!L14</f>
        <v>194062393.07999998</v>
      </c>
      <c r="L12" s="60">
        <f>'SAP BW Actual Usage'!M14</f>
        <v>200310848.57599998</v>
      </c>
      <c r="M12" s="60">
        <f>'SAP BW Actual Usage'!N14</f>
        <v>225240649.78299996</v>
      </c>
      <c r="N12" s="143">
        <f>SUM(B12:M12)</f>
        <v>2442094286.0219998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>
      <c r="A13" s="58" t="s">
        <v>30</v>
      </c>
      <c r="B13" s="80">
        <f>SUM(B11:B12)</f>
        <v>228179270.09799999</v>
      </c>
      <c r="C13" s="80">
        <f t="shared" ref="C13:M13" si="2">SUM(C11:C12)</f>
        <v>240346761.12</v>
      </c>
      <c r="D13" s="80">
        <f t="shared" si="2"/>
        <v>231406832.98600003</v>
      </c>
      <c r="E13" s="80">
        <f t="shared" si="2"/>
        <v>240613938.882</v>
      </c>
      <c r="F13" s="80">
        <f t="shared" si="2"/>
        <v>190172282.75999999</v>
      </c>
      <c r="G13" s="80">
        <f t="shared" si="2"/>
        <v>223346531.06999999</v>
      </c>
      <c r="H13" s="80">
        <f t="shared" si="2"/>
        <v>232946308.13799998</v>
      </c>
      <c r="I13" s="80">
        <f t="shared" si="2"/>
        <v>215674531.62100002</v>
      </c>
      <c r="J13" s="80">
        <f t="shared" si="2"/>
        <v>211970160.54500002</v>
      </c>
      <c r="K13" s="80">
        <f t="shared" si="2"/>
        <v>212451145.81199998</v>
      </c>
      <c r="L13" s="80">
        <f t="shared" si="2"/>
        <v>221370450.23699999</v>
      </c>
      <c r="M13" s="80">
        <f t="shared" si="2"/>
        <v>250391647.33099997</v>
      </c>
      <c r="N13" s="142">
        <f>SUM(B13:M13)</f>
        <v>2698869860.5999999</v>
      </c>
    </row>
    <row r="14" spans="1:28">
      <c r="A14" s="5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141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5" t="s">
        <v>36</v>
      </c>
      <c r="B15" s="41">
        <f>'SAP BW Actual Usage'!C12</f>
        <v>12756090.57</v>
      </c>
      <c r="C15" s="41">
        <f>'SAP BW Actual Usage'!D12</f>
        <v>11786765.419</v>
      </c>
      <c r="D15" s="41">
        <f>'SAP BW Actual Usage'!E12</f>
        <v>11748760.131999999</v>
      </c>
      <c r="E15" s="41">
        <f>'SAP BW Actual Usage'!F12</f>
        <v>13099764.209000001</v>
      </c>
      <c r="F15" s="41">
        <f>'SAP BW Actual Usage'!G12</f>
        <v>10159767.811000001</v>
      </c>
      <c r="G15" s="41">
        <f>'SAP BW Actual Usage'!H12</f>
        <v>8953095.6870000008</v>
      </c>
      <c r="H15" s="41">
        <f>'SAP BW Actual Usage'!I12</f>
        <v>10204408.104</v>
      </c>
      <c r="I15" s="41">
        <f>'SAP BW Actual Usage'!J12</f>
        <v>10191514.009</v>
      </c>
      <c r="J15" s="41">
        <f>'SAP BW Actual Usage'!K12</f>
        <v>9973510.6040000003</v>
      </c>
      <c r="K15" s="41">
        <f>'SAP BW Actual Usage'!L12</f>
        <v>9409721.7420000006</v>
      </c>
      <c r="L15" s="41">
        <f>'SAP BW Actual Usage'!M12</f>
        <v>11538066.138</v>
      </c>
      <c r="M15" s="41">
        <f>'SAP BW Actual Usage'!N12</f>
        <v>13360527.778999999</v>
      </c>
      <c r="N15" s="141">
        <f>SUM(B15:M15)</f>
        <v>133181992.20400001</v>
      </c>
    </row>
    <row r="16" spans="1:28" s="56" customFormat="1">
      <c r="A16" s="65" t="s">
        <v>109</v>
      </c>
      <c r="B16" s="60">
        <f>'SAP BW Actual Usage'!C15</f>
        <v>213326995.10300002</v>
      </c>
      <c r="C16" s="60">
        <f>'SAP BW Actual Usage'!D15</f>
        <v>232200420.43399999</v>
      </c>
      <c r="D16" s="60">
        <f>'SAP BW Actual Usage'!E15</f>
        <v>237276978.22000003</v>
      </c>
      <c r="E16" s="60">
        <f>'SAP BW Actual Usage'!F15</f>
        <v>227386345.972</v>
      </c>
      <c r="F16" s="60">
        <f>'SAP BW Actual Usage'!G15</f>
        <v>206197811.04799998</v>
      </c>
      <c r="G16" s="60">
        <f>'SAP BW Actual Usage'!H15</f>
        <v>227444322.414</v>
      </c>
      <c r="H16" s="60">
        <f>'SAP BW Actual Usage'!I15</f>
        <v>243377820.53600001</v>
      </c>
      <c r="I16" s="60">
        <f>'SAP BW Actual Usage'!J15</f>
        <v>233728656.76799998</v>
      </c>
      <c r="J16" s="60">
        <f>'SAP BW Actual Usage'!K15</f>
        <v>235505489.648</v>
      </c>
      <c r="K16" s="60">
        <f>'SAP BW Actual Usage'!L15</f>
        <v>219482821.71799999</v>
      </c>
      <c r="L16" s="60">
        <f>'SAP BW Actual Usage'!M15</f>
        <v>228548668.35399997</v>
      </c>
      <c r="M16" s="60">
        <f>'SAP BW Actual Usage'!N15</f>
        <v>240155423.63700002</v>
      </c>
      <c r="N16" s="143">
        <f>SUM(B16:M16)</f>
        <v>2744631753.8520002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>
      <c r="A17" s="58" t="s">
        <v>31</v>
      </c>
      <c r="B17" s="80">
        <f>SUM(B15:B16)</f>
        <v>226083085.67300001</v>
      </c>
      <c r="C17" s="80">
        <f t="shared" ref="C17:M17" si="3">SUM(C15:C16)</f>
        <v>243987185.85299999</v>
      </c>
      <c r="D17" s="80">
        <f t="shared" si="3"/>
        <v>249025738.35200003</v>
      </c>
      <c r="E17" s="80">
        <f t="shared" si="3"/>
        <v>240486110.18099999</v>
      </c>
      <c r="F17" s="80">
        <f t="shared" si="3"/>
        <v>216357578.85899997</v>
      </c>
      <c r="G17" s="80">
        <f t="shared" si="3"/>
        <v>236397418.10100001</v>
      </c>
      <c r="H17" s="80">
        <f t="shared" si="3"/>
        <v>253582228.64000002</v>
      </c>
      <c r="I17" s="80">
        <f t="shared" si="3"/>
        <v>243920170.77699998</v>
      </c>
      <c r="J17" s="80">
        <f t="shared" si="3"/>
        <v>245479000.252</v>
      </c>
      <c r="K17" s="80">
        <f t="shared" si="3"/>
        <v>228892543.46000001</v>
      </c>
      <c r="L17" s="80">
        <f t="shared" si="3"/>
        <v>240086734.49199998</v>
      </c>
      <c r="M17" s="80">
        <f t="shared" si="3"/>
        <v>253515951.41600001</v>
      </c>
      <c r="N17" s="142">
        <f>SUM(B17:M17)</f>
        <v>2877813746.0560002</v>
      </c>
    </row>
    <row r="18" spans="1:28">
      <c r="A18" s="5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141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5" t="s">
        <v>37</v>
      </c>
      <c r="B19" s="41">
        <f>'SAP BW Actual Usage'!C13</f>
        <v>1244320</v>
      </c>
      <c r="C19" s="41">
        <f>'SAP BW Actual Usage'!D13</f>
        <v>1494680</v>
      </c>
      <c r="D19" s="41">
        <f>'SAP BW Actual Usage'!E13</f>
        <v>1367540</v>
      </c>
      <c r="E19" s="41">
        <f>'SAP BW Actual Usage'!F13</f>
        <v>1228700</v>
      </c>
      <c r="F19" s="41">
        <f>'SAP BW Actual Usage'!G13</f>
        <v>1096220</v>
      </c>
      <c r="G19" s="41">
        <f>'SAP BW Actual Usage'!H13</f>
        <v>1033860</v>
      </c>
      <c r="H19" s="41">
        <f>'SAP BW Actual Usage'!I13</f>
        <v>1090180</v>
      </c>
      <c r="I19" s="41">
        <f>'SAP BW Actual Usage'!J13</f>
        <v>1565820</v>
      </c>
      <c r="J19" s="41">
        <f>'SAP BW Actual Usage'!K13</f>
        <v>1381500</v>
      </c>
      <c r="K19" s="41">
        <f>'SAP BW Actual Usage'!L13</f>
        <v>1096340</v>
      </c>
      <c r="L19" s="41">
        <f>'SAP BW Actual Usage'!M13</f>
        <v>2189660</v>
      </c>
      <c r="M19" s="41">
        <f>'SAP BW Actual Usage'!N13</f>
        <v>1144549</v>
      </c>
      <c r="N19" s="141">
        <f>SUM(B19:M19)</f>
        <v>15933369</v>
      </c>
    </row>
    <row r="20" spans="1:28" s="56" customFormat="1">
      <c r="A20" s="65" t="s">
        <v>110</v>
      </c>
      <c r="B20" s="60">
        <f>'SAP BW Actual Usage'!C16</f>
        <v>134614800.11899999</v>
      </c>
      <c r="C20" s="60">
        <f>'SAP BW Actual Usage'!D16</f>
        <v>142840791.66800001</v>
      </c>
      <c r="D20" s="60">
        <f>'SAP BW Actual Usage'!E16</f>
        <v>148424080.67499998</v>
      </c>
      <c r="E20" s="60">
        <f>'SAP BW Actual Usage'!F16</f>
        <v>139894759.067</v>
      </c>
      <c r="F20" s="60">
        <f>'SAP BW Actual Usage'!G16</f>
        <v>128923459.22799999</v>
      </c>
      <c r="G20" s="60">
        <f>'SAP BW Actual Usage'!H16</f>
        <v>153575541.95499998</v>
      </c>
      <c r="H20" s="60">
        <f>'SAP BW Actual Usage'!I16</f>
        <v>155056193.29299998</v>
      </c>
      <c r="I20" s="60">
        <f>'SAP BW Actual Usage'!J16</f>
        <v>157837250.023</v>
      </c>
      <c r="J20" s="60">
        <f>'SAP BW Actual Usage'!K16</f>
        <v>153257798.05899999</v>
      </c>
      <c r="K20" s="60">
        <f>'SAP BW Actual Usage'!L16</f>
        <v>139339209.80500001</v>
      </c>
      <c r="L20" s="60">
        <f>'SAP BW Actual Usage'!M16</f>
        <v>148792987.41299999</v>
      </c>
      <c r="M20" s="60">
        <f>'SAP BW Actual Usage'!N16</f>
        <v>152670503.72999999</v>
      </c>
      <c r="N20" s="143">
        <f>SUM(B20:M20)</f>
        <v>1755227375.0349998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58" t="s">
        <v>32</v>
      </c>
      <c r="B21" s="80">
        <f>SUM(B19:B20)</f>
        <v>135859120.11899999</v>
      </c>
      <c r="C21" s="80">
        <f t="shared" ref="C21:M21" si="4">SUM(C19:C20)</f>
        <v>144335471.66800001</v>
      </c>
      <c r="D21" s="80">
        <f t="shared" si="4"/>
        <v>149791620.67499998</v>
      </c>
      <c r="E21" s="80">
        <f t="shared" si="4"/>
        <v>141123459.067</v>
      </c>
      <c r="F21" s="80">
        <f t="shared" si="4"/>
        <v>130019679.22799999</v>
      </c>
      <c r="G21" s="80">
        <f t="shared" si="4"/>
        <v>154609401.95499998</v>
      </c>
      <c r="H21" s="80">
        <f t="shared" si="4"/>
        <v>156146373.29299998</v>
      </c>
      <c r="I21" s="80">
        <f t="shared" si="4"/>
        <v>159403070.023</v>
      </c>
      <c r="J21" s="80">
        <f t="shared" si="4"/>
        <v>154639298.05899999</v>
      </c>
      <c r="K21" s="80">
        <f t="shared" si="4"/>
        <v>140435549.80500001</v>
      </c>
      <c r="L21" s="80">
        <f t="shared" si="4"/>
        <v>150982647.41299999</v>
      </c>
      <c r="M21" s="80">
        <f t="shared" si="4"/>
        <v>153815052.72999999</v>
      </c>
      <c r="N21" s="142">
        <f>SUM(B21:M21)</f>
        <v>1771160744.0349998</v>
      </c>
    </row>
    <row r="22" spans="1:28">
      <c r="A22" s="5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41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5" t="s">
        <v>38</v>
      </c>
      <c r="B23" s="41">
        <f>'SAP BW Actual Usage'!C11</f>
        <v>2221023.06</v>
      </c>
      <c r="C23" s="41">
        <f>'SAP BW Actual Usage'!D11</f>
        <v>1656829.02</v>
      </c>
      <c r="D23" s="41">
        <f>'SAP BW Actual Usage'!E11</f>
        <v>2216287.92</v>
      </c>
      <c r="E23" s="41">
        <f>'SAP BW Actual Usage'!F11</f>
        <v>2434020</v>
      </c>
      <c r="F23" s="41">
        <f>'SAP BW Actual Usage'!G11</f>
        <v>1466880</v>
      </c>
      <c r="G23" s="41">
        <f>'SAP BW Actual Usage'!H11</f>
        <v>1370760</v>
      </c>
      <c r="H23" s="41">
        <f>'SAP BW Actual Usage'!I11</f>
        <v>2132220</v>
      </c>
      <c r="I23" s="41">
        <f>'SAP BW Actual Usage'!J11</f>
        <v>1374900</v>
      </c>
      <c r="J23" s="41">
        <f>'SAP BW Actual Usage'!K11</f>
        <v>1761900</v>
      </c>
      <c r="K23" s="41">
        <f>'SAP BW Actual Usage'!L11</f>
        <v>1569420</v>
      </c>
      <c r="L23" s="41">
        <f>'SAP BW Actual Usage'!M11</f>
        <v>1446600</v>
      </c>
      <c r="M23" s="41">
        <f>'SAP BW Actual Usage'!N11</f>
        <v>2010480</v>
      </c>
      <c r="N23" s="141">
        <f>SUM(B23:M23)</f>
        <v>21661320</v>
      </c>
    </row>
    <row r="24" spans="1:28" s="56" customFormat="1">
      <c r="A24" s="65" t="s">
        <v>6</v>
      </c>
      <c r="B24" s="60">
        <f>'SAP BW Actual Usage'!C18</f>
        <v>86761582.208000004</v>
      </c>
      <c r="C24" s="60">
        <f>'SAP BW Actual Usage'!D18</f>
        <v>105959789.013</v>
      </c>
      <c r="D24" s="60">
        <f>'SAP BW Actual Usage'!E18</f>
        <v>110613836.44500001</v>
      </c>
      <c r="E24" s="60">
        <f>'SAP BW Actual Usage'!F18</f>
        <v>108746025.31299999</v>
      </c>
      <c r="F24" s="60">
        <f>'SAP BW Actual Usage'!G18</f>
        <v>99122512.819000006</v>
      </c>
      <c r="G24" s="60">
        <f>'SAP BW Actual Usage'!H18</f>
        <v>121360616.58500001</v>
      </c>
      <c r="H24" s="60">
        <f>'SAP BW Actual Usage'!I18</f>
        <v>111451065.377</v>
      </c>
      <c r="I24" s="60">
        <f>'SAP BW Actual Usage'!J18</f>
        <v>105283725.095</v>
      </c>
      <c r="J24" s="60">
        <f>'SAP BW Actual Usage'!K18</f>
        <v>106187226.566</v>
      </c>
      <c r="K24" s="60">
        <f>'SAP BW Actual Usage'!L18</f>
        <v>109679464.086</v>
      </c>
      <c r="L24" s="60">
        <f>'SAP BW Actual Usage'!M18</f>
        <v>112105826.211</v>
      </c>
      <c r="M24" s="60">
        <f>'SAP BW Actual Usage'!N18</f>
        <v>107003248.67899999</v>
      </c>
      <c r="N24" s="143">
        <f>SUM(B24:M24)</f>
        <v>1284274918.3969998</v>
      </c>
    </row>
    <row r="25" spans="1:28">
      <c r="A25" s="58" t="s">
        <v>33</v>
      </c>
      <c r="B25" s="80">
        <f>SUM(B23:B24)</f>
        <v>88982605.268000007</v>
      </c>
      <c r="C25" s="80">
        <f t="shared" ref="C25:N25" si="5">SUM(C23:C24)</f>
        <v>107616618.03299999</v>
      </c>
      <c r="D25" s="80">
        <f t="shared" si="5"/>
        <v>112830124.36500001</v>
      </c>
      <c r="E25" s="80">
        <f t="shared" si="5"/>
        <v>111180045.31299999</v>
      </c>
      <c r="F25" s="80">
        <f t="shared" si="5"/>
        <v>100589392.81900001</v>
      </c>
      <c r="G25" s="80">
        <f t="shared" si="5"/>
        <v>122731376.58500001</v>
      </c>
      <c r="H25" s="80">
        <f t="shared" si="5"/>
        <v>113583285.377</v>
      </c>
      <c r="I25" s="80">
        <f t="shared" si="5"/>
        <v>106658625.095</v>
      </c>
      <c r="J25" s="80">
        <f t="shared" si="5"/>
        <v>107949126.566</v>
      </c>
      <c r="K25" s="80">
        <f t="shared" si="5"/>
        <v>111248884.086</v>
      </c>
      <c r="L25" s="80">
        <f t="shared" si="5"/>
        <v>113552426.211</v>
      </c>
      <c r="M25" s="80">
        <f t="shared" si="5"/>
        <v>109013728.67899999</v>
      </c>
      <c r="N25" s="142">
        <f t="shared" si="5"/>
        <v>1305936238.3969998</v>
      </c>
    </row>
    <row r="26" spans="1:28">
      <c r="A26" s="5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41"/>
    </row>
    <row r="27" spans="1:28" s="67" customFormat="1">
      <c r="A27" s="70" t="s">
        <v>8</v>
      </c>
      <c r="B27" s="68">
        <f>'SAP BW Actual Usage'!C20</f>
        <v>10413393.275</v>
      </c>
      <c r="C27" s="68">
        <f>'SAP BW Actual Usage'!D20</f>
        <v>11189689.205</v>
      </c>
      <c r="D27" s="68">
        <f>'SAP BW Actual Usage'!E20</f>
        <v>14287041.404999999</v>
      </c>
      <c r="E27" s="68">
        <f>'SAP BW Actual Usage'!F20</f>
        <v>13109198.175000001</v>
      </c>
      <c r="F27" s="68">
        <f>'SAP BW Actual Usage'!G20</f>
        <v>8996457.8149999995</v>
      </c>
      <c r="G27" s="68">
        <f>'SAP BW Actual Usage'!H20</f>
        <v>9664467.0700000003</v>
      </c>
      <c r="H27" s="68">
        <f>'SAP BW Actual Usage'!I20</f>
        <v>8394954.3350000009</v>
      </c>
      <c r="I27" s="68">
        <f>'SAP BW Actual Usage'!J20</f>
        <v>5347480.1749999998</v>
      </c>
      <c r="J27" s="68">
        <f>'SAP BW Actual Usage'!K20</f>
        <v>6682922.6550000003</v>
      </c>
      <c r="K27" s="68">
        <f>'SAP BW Actual Usage'!L20</f>
        <v>6979315.5449999999</v>
      </c>
      <c r="L27" s="68">
        <f>'SAP BW Actual Usage'!M20</f>
        <v>11052604.244999999</v>
      </c>
      <c r="M27" s="68">
        <f>'SAP BW Actual Usage'!N20</f>
        <v>10887231.67</v>
      </c>
      <c r="N27" s="144">
        <f t="shared" ref="N27:N28" si="6">SUM(B27:M27)</f>
        <v>117004755.57000001</v>
      </c>
    </row>
    <row r="28" spans="1:28">
      <c r="A28" s="58" t="s">
        <v>50</v>
      </c>
      <c r="B28" s="41">
        <f>'SAP BW Actual Usage'!C8</f>
        <v>916060</v>
      </c>
      <c r="C28" s="41">
        <f>'SAP BW Actual Usage'!D8</f>
        <v>940400</v>
      </c>
      <c r="D28" s="41">
        <f>'SAP BW Actual Usage'!E8</f>
        <v>950880</v>
      </c>
      <c r="E28" s="41">
        <f>'SAP BW Actual Usage'!F8</f>
        <v>824060</v>
      </c>
      <c r="F28" s="41">
        <f>'SAP BW Actual Usage'!G8</f>
        <v>631620</v>
      </c>
      <c r="G28" s="41">
        <f>'SAP BW Actual Usage'!H8</f>
        <v>438860</v>
      </c>
      <c r="H28" s="41">
        <f>'SAP BW Actual Usage'!I8</f>
        <v>332660</v>
      </c>
      <c r="I28" s="41">
        <f>'SAP BW Actual Usage'!J8</f>
        <v>284420</v>
      </c>
      <c r="J28" s="41">
        <f>'SAP BW Actual Usage'!K8</f>
        <v>285040</v>
      </c>
      <c r="K28" s="41">
        <f>'SAP BW Actual Usage'!L8</f>
        <v>330840</v>
      </c>
      <c r="L28" s="41">
        <f>'SAP BW Actual Usage'!M8</f>
        <v>532060</v>
      </c>
      <c r="M28" s="41">
        <f>'SAP BW Actual Usage'!N8</f>
        <v>723120</v>
      </c>
      <c r="N28" s="141">
        <f t="shared" si="6"/>
        <v>7190020</v>
      </c>
    </row>
    <row r="29" spans="1:28">
      <c r="A29" s="5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43"/>
    </row>
    <row r="30" spans="1:28" s="59" customFormat="1">
      <c r="A30" s="64" t="s">
        <v>20</v>
      </c>
      <c r="B30" s="79">
        <f t="shared" ref="B30:N30" si="7">SUM(B9,B13,B17,B21,B25,B27:B28)</f>
        <v>1915563398.0620003</v>
      </c>
      <c r="C30" s="79">
        <f t="shared" si="7"/>
        <v>1932924316.3439999</v>
      </c>
      <c r="D30" s="79">
        <f t="shared" si="7"/>
        <v>1938339907.2279999</v>
      </c>
      <c r="E30" s="79">
        <f t="shared" si="7"/>
        <v>1758891449.017</v>
      </c>
      <c r="F30" s="79">
        <f t="shared" si="7"/>
        <v>1441798683.5949998</v>
      </c>
      <c r="G30" s="79">
        <f t="shared" si="7"/>
        <v>1487830299.155</v>
      </c>
      <c r="H30" s="79">
        <f t="shared" si="7"/>
        <v>1584657075.0160003</v>
      </c>
      <c r="I30" s="79">
        <f t="shared" si="7"/>
        <v>1502116424.6949999</v>
      </c>
      <c r="J30" s="79">
        <f t="shared" si="7"/>
        <v>1469753684.474</v>
      </c>
      <c r="K30" s="79">
        <f t="shared" si="7"/>
        <v>1459382917.4680002</v>
      </c>
      <c r="L30" s="79">
        <f t="shared" si="7"/>
        <v>1678621923.5929999</v>
      </c>
      <c r="M30" s="79">
        <f t="shared" si="7"/>
        <v>1951507928.132</v>
      </c>
      <c r="N30" s="142">
        <f t="shared" si="7"/>
        <v>20121388006.778999</v>
      </c>
    </row>
    <row r="31" spans="1:28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43"/>
    </row>
    <row r="32" spans="1:28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>
      <c r="A33" s="55" t="s">
        <v>34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>
      <c r="A34" s="43" t="s">
        <v>25</v>
      </c>
      <c r="B34" s="39">
        <f t="shared" ref="B34:M34" si="8">B7</f>
        <v>44197</v>
      </c>
      <c r="C34" s="39">
        <f t="shared" si="8"/>
        <v>44228</v>
      </c>
      <c r="D34" s="39">
        <f t="shared" si="8"/>
        <v>44256</v>
      </c>
      <c r="E34" s="39">
        <f t="shared" si="8"/>
        <v>44287</v>
      </c>
      <c r="F34" s="39">
        <f t="shared" si="8"/>
        <v>44317</v>
      </c>
      <c r="G34" s="39">
        <f t="shared" si="8"/>
        <v>44348</v>
      </c>
      <c r="H34" s="39">
        <f t="shared" si="8"/>
        <v>44378</v>
      </c>
      <c r="I34" s="39">
        <f t="shared" si="8"/>
        <v>44409</v>
      </c>
      <c r="J34" s="39">
        <f t="shared" si="8"/>
        <v>44440</v>
      </c>
      <c r="K34" s="39">
        <f t="shared" si="8"/>
        <v>44470</v>
      </c>
      <c r="L34" s="39">
        <f t="shared" si="8"/>
        <v>44501</v>
      </c>
      <c r="M34" s="39">
        <f t="shared" si="8"/>
        <v>44531</v>
      </c>
      <c r="N34" s="54" t="s">
        <v>19</v>
      </c>
    </row>
    <row r="35" spans="1:14">
      <c r="A35" s="44" t="s">
        <v>21</v>
      </c>
      <c r="B35" s="41">
        <f>'SAP BW Actual Usage'!C23</f>
        <v>5492547.6520000016</v>
      </c>
      <c r="C35" s="41">
        <f>'SAP BW Actual Usage'!D23</f>
        <v>5554887.4879999999</v>
      </c>
      <c r="D35" s="41">
        <f>'SAP BW Actual Usage'!E23</f>
        <v>6022390.3779999996</v>
      </c>
      <c r="E35" s="41">
        <f>'SAP BW Actual Usage'!F23</f>
        <v>5782065.4799999995</v>
      </c>
      <c r="F35" s="41">
        <f>'SAP BW Actual Usage'!G23</f>
        <v>4904920.8459999999</v>
      </c>
      <c r="G35" s="41">
        <f>'SAP BW Actual Usage'!H23</f>
        <v>5916070.8030000003</v>
      </c>
      <c r="H35" s="41">
        <f>'SAP BW Actual Usage'!I23</f>
        <v>6435976.3790000007</v>
      </c>
      <c r="I35" s="41">
        <f>'SAP BW Actual Usage'!J23</f>
        <v>5234448.6249999981</v>
      </c>
      <c r="J35" s="41">
        <f>'SAP BW Actual Usage'!K23</f>
        <v>4688701.9610000011</v>
      </c>
      <c r="K35" s="41">
        <f>'SAP BW Actual Usage'!L23</f>
        <v>6237168.6469999999</v>
      </c>
      <c r="L35" s="41">
        <f>'SAP BW Actual Usage'!M23</f>
        <v>5144726.5819999995</v>
      </c>
      <c r="M35" s="41">
        <f>'SAP BW Actual Usage'!N23</f>
        <v>5915163.5000000009</v>
      </c>
      <c r="N35" s="1">
        <f>SUM(B35:M35)</f>
        <v>67329068.341000006</v>
      </c>
    </row>
    <row r="36" spans="1:14">
      <c r="A36" s="44" t="s">
        <v>39</v>
      </c>
      <c r="B36" s="41">
        <f>'SAP BW Actual Usage'!C22</f>
        <v>21505781.832000002</v>
      </c>
      <c r="C36" s="41">
        <f>'SAP BW Actual Usage'!D22</f>
        <v>79557938.265000001</v>
      </c>
      <c r="D36" s="41">
        <f>'SAP BW Actual Usage'!E22</f>
        <v>28735665.606999997</v>
      </c>
      <c r="E36" s="41">
        <f>'SAP BW Actual Usage'!F22</f>
        <v>45862397.206</v>
      </c>
      <c r="F36" s="41">
        <f>'SAP BW Actual Usage'!G22</f>
        <v>56391545.413999997</v>
      </c>
      <c r="G36" s="41">
        <f>'SAP BW Actual Usage'!H22</f>
        <v>52794299.651999995</v>
      </c>
      <c r="H36" s="41">
        <f>'SAP BW Actual Usage'!I22</f>
        <v>51290042.205000006</v>
      </c>
      <c r="I36" s="41">
        <f>'SAP BW Actual Usage'!J22</f>
        <v>42833582.866999999</v>
      </c>
      <c r="J36" s="41">
        <f>'SAP BW Actual Usage'!K22</f>
        <v>58441738.920000002</v>
      </c>
      <c r="K36" s="41">
        <f>'SAP BW Actual Usage'!L22</f>
        <v>54795032.277999997</v>
      </c>
      <c r="L36" s="41">
        <f>'SAP BW Actual Usage'!M22</f>
        <v>73419955.623999998</v>
      </c>
      <c r="M36" s="41">
        <f>'SAP BW Actual Usage'!N22</f>
        <v>31248771.395000003</v>
      </c>
      <c r="N36" s="1">
        <f>SUM(B36:M36)</f>
        <v>596876751.26499999</v>
      </c>
    </row>
    <row r="37" spans="1:14">
      <c r="A37" s="44" t="s">
        <v>7</v>
      </c>
      <c r="B37" s="41">
        <f>'SAP BW Actual Usage'!C19</f>
        <v>5820</v>
      </c>
      <c r="C37" s="41">
        <f>'SAP BW Actual Usage'!D19</f>
        <v>9300</v>
      </c>
      <c r="D37" s="41">
        <f>'SAP BW Actual Usage'!E19</f>
        <v>9900</v>
      </c>
      <c r="E37" s="41">
        <f>'SAP BW Actual Usage'!F19</f>
        <v>6120</v>
      </c>
      <c r="F37" s="41">
        <f>'SAP BW Actual Usage'!G19</f>
        <v>391320</v>
      </c>
      <c r="G37" s="41">
        <f>'SAP BW Actual Usage'!H19</f>
        <v>678180</v>
      </c>
      <c r="H37" s="41">
        <f>'SAP BW Actual Usage'!I19</f>
        <v>745080</v>
      </c>
      <c r="I37" s="41">
        <f>'SAP BW Actual Usage'!J19</f>
        <v>0</v>
      </c>
      <c r="J37" s="41">
        <f>'SAP BW Actual Usage'!K19</f>
        <v>0</v>
      </c>
      <c r="K37" s="41">
        <f>'SAP BW Actual Usage'!L19</f>
        <v>2466166.44</v>
      </c>
      <c r="L37" s="41">
        <f>'SAP BW Actual Usage'!M19</f>
        <v>270000</v>
      </c>
      <c r="M37" s="41">
        <f>'SAP BW Actual Usage'!N19</f>
        <v>15913.56</v>
      </c>
      <c r="N37" s="1">
        <f>SUM(B37:M37)</f>
        <v>4597799.9999999991</v>
      </c>
    </row>
    <row r="38" spans="1:14">
      <c r="A38" s="44" t="s">
        <v>130</v>
      </c>
      <c r="B38" s="41">
        <f>'SAP BW Actual Usage'!C21</f>
        <v>0</v>
      </c>
      <c r="C38" s="41">
        <f>'SAP BW Actual Usage'!D21</f>
        <v>47436905.559</v>
      </c>
      <c r="D38" s="41">
        <f>'SAP BW Actual Usage'!E21</f>
        <v>247949.856</v>
      </c>
      <c r="E38" s="41">
        <f>'SAP BW Actual Usage'!F21</f>
        <v>24476462.294</v>
      </c>
      <c r="F38" s="41">
        <f>'SAP BW Actual Usage'!G21</f>
        <v>22171246.188999999</v>
      </c>
      <c r="G38" s="41">
        <f>'SAP BW Actual Usage'!H21</f>
        <v>21958511.208000001</v>
      </c>
      <c r="H38" s="41">
        <f>'SAP BW Actual Usage'!I21</f>
        <v>23058723.956999999</v>
      </c>
      <c r="I38" s="41">
        <f>'SAP BW Actual Usage'!J21</f>
        <v>23850790.868000001</v>
      </c>
      <c r="J38" s="41">
        <f>'SAP BW Actual Usage'!K21</f>
        <v>24145778.601</v>
      </c>
      <c r="K38" s="41">
        <f>'SAP BW Actual Usage'!L21</f>
        <v>22009194.785999998</v>
      </c>
      <c r="L38" s="41">
        <f>'SAP BW Actual Usage'!M21</f>
        <v>41332532.652000003</v>
      </c>
      <c r="M38" s="41">
        <f>'SAP BW Actual Usage'!N21</f>
        <v>4939071.3130000001</v>
      </c>
      <c r="N38" s="1">
        <f>SUM(B38:M38)</f>
        <v>255627167.28300002</v>
      </c>
    </row>
    <row r="39" spans="1:14">
      <c r="A39" s="58" t="s">
        <v>5</v>
      </c>
      <c r="B39" s="41">
        <f>'SAP BW Actual Usage'!C17</f>
        <v>319014.89500000002</v>
      </c>
      <c r="C39" s="41">
        <f>'SAP BW Actual Usage'!D17</f>
        <v>392966.973</v>
      </c>
      <c r="D39" s="41">
        <f>'SAP BW Actual Usage'!E17</f>
        <v>202175.46299999999</v>
      </c>
      <c r="E39" s="41">
        <f>'SAP BW Actual Usage'!F17</f>
        <v>550146.01199999999</v>
      </c>
      <c r="F39" s="41">
        <f>'SAP BW Actual Usage'!G17</f>
        <v>883559.995</v>
      </c>
      <c r="G39" s="41">
        <f>'SAP BW Actual Usage'!H17</f>
        <v>1503978.6040000001</v>
      </c>
      <c r="H39" s="41">
        <f>'SAP BW Actual Usage'!I17</f>
        <v>2917794.5819999999</v>
      </c>
      <c r="I39" s="41">
        <f>'SAP BW Actual Usage'!J17</f>
        <v>4593520.6050000004</v>
      </c>
      <c r="J39" s="41">
        <f>'SAP BW Actual Usage'!K17</f>
        <v>2783118.04</v>
      </c>
      <c r="K39" s="41">
        <f>'SAP BW Actual Usage'!L17</f>
        <v>1404147.6740000001</v>
      </c>
      <c r="L39" s="41">
        <f>'SAP BW Actual Usage'!M17</f>
        <v>473818.58600000001</v>
      </c>
      <c r="M39" s="41">
        <f>'SAP BW Actual Usage'!N17</f>
        <v>587966.64099999995</v>
      </c>
      <c r="N39" s="141">
        <f>SUM(B39:M39)</f>
        <v>16612208.07</v>
      </c>
    </row>
    <row r="40" spans="1:14">
      <c r="A40" s="4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1"/>
    </row>
    <row r="41" spans="1:14">
      <c r="A41" s="64" t="s">
        <v>20</v>
      </c>
      <c r="B41" s="80">
        <f t="shared" ref="B41:M41" si="9">SUM(B35:B39)</f>
        <v>27323164.379000004</v>
      </c>
      <c r="C41" s="80">
        <f t="shared" si="9"/>
        <v>132951998.28500001</v>
      </c>
      <c r="D41" s="80">
        <f t="shared" si="9"/>
        <v>35218081.303999998</v>
      </c>
      <c r="E41" s="80">
        <f t="shared" si="9"/>
        <v>76677190.991999984</v>
      </c>
      <c r="F41" s="80">
        <f t="shared" si="9"/>
        <v>84742592.444000006</v>
      </c>
      <c r="G41" s="80">
        <f t="shared" si="9"/>
        <v>82851040.267000005</v>
      </c>
      <c r="H41" s="80">
        <f t="shared" si="9"/>
        <v>84447617.123000011</v>
      </c>
      <c r="I41" s="80">
        <f t="shared" si="9"/>
        <v>76512342.965000004</v>
      </c>
      <c r="J41" s="80">
        <f t="shared" si="9"/>
        <v>90059337.522000015</v>
      </c>
      <c r="K41" s="80">
        <f t="shared" si="9"/>
        <v>86911709.824999988</v>
      </c>
      <c r="L41" s="80">
        <f t="shared" si="9"/>
        <v>120641033.44400001</v>
      </c>
      <c r="M41" s="80">
        <f t="shared" si="9"/>
        <v>42706886.409000009</v>
      </c>
      <c r="N41" s="80">
        <f>SUM(N35:N39)</f>
        <v>941042994.95899999</v>
      </c>
    </row>
    <row r="42" spans="1:14">
      <c r="A42" s="9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>
      <c r="A43" s="9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s="63" customFormat="1" ht="13.8" thickBot="1">
      <c r="A44" s="61" t="s">
        <v>22</v>
      </c>
      <c r="B44" s="81">
        <f t="shared" ref="B44:N44" si="10">B41+B30</f>
        <v>1942886562.4410002</v>
      </c>
      <c r="C44" s="81">
        <f t="shared" si="10"/>
        <v>2065876314.6289999</v>
      </c>
      <c r="D44" s="81">
        <f t="shared" si="10"/>
        <v>1973557988.5319998</v>
      </c>
      <c r="E44" s="81">
        <f t="shared" si="10"/>
        <v>1835568640.0089998</v>
      </c>
      <c r="F44" s="81">
        <f t="shared" si="10"/>
        <v>1526541276.0389998</v>
      </c>
      <c r="G44" s="81">
        <f t="shared" si="10"/>
        <v>1570681339.4219999</v>
      </c>
      <c r="H44" s="81">
        <f t="shared" si="10"/>
        <v>1669104692.1390002</v>
      </c>
      <c r="I44" s="81">
        <f t="shared" si="10"/>
        <v>1578628767.6599998</v>
      </c>
      <c r="J44" s="81">
        <f t="shared" si="10"/>
        <v>1559813021.9960001</v>
      </c>
      <c r="K44" s="81">
        <f t="shared" si="10"/>
        <v>1546294627.2930002</v>
      </c>
      <c r="L44" s="81">
        <f t="shared" si="10"/>
        <v>1799262957.0369999</v>
      </c>
      <c r="M44" s="81">
        <f t="shared" si="10"/>
        <v>1994214814.5409999</v>
      </c>
      <c r="N44" s="81">
        <f t="shared" si="10"/>
        <v>21062431001.737999</v>
      </c>
    </row>
    <row r="45" spans="1:14" ht="15.6" thickTop="1">
      <c r="A45" s="9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>
      <c r="N46" s="170"/>
    </row>
    <row r="47" spans="1:14">
      <c r="B47" s="170"/>
      <c r="C47" s="170"/>
      <c r="D47" s="170"/>
      <c r="E47" s="170"/>
      <c r="F47" s="170"/>
      <c r="G47" s="170"/>
      <c r="H47" s="170"/>
      <c r="I47" s="170"/>
    </row>
    <row r="48" spans="1:14">
      <c r="B48" s="170"/>
      <c r="C48" s="170"/>
      <c r="D48" s="170"/>
      <c r="E48" s="170"/>
      <c r="F48" s="170"/>
      <c r="G48" s="170"/>
      <c r="H48" s="170"/>
      <c r="I48" s="170"/>
    </row>
    <row r="49" spans="2:9">
      <c r="B49" s="170"/>
      <c r="C49" s="170"/>
      <c r="D49" s="170"/>
      <c r="E49" s="170"/>
      <c r="F49" s="170"/>
      <c r="G49" s="170"/>
      <c r="H49" s="170"/>
      <c r="I49" s="170"/>
    </row>
    <row r="50" spans="2:9">
      <c r="B50" s="170"/>
      <c r="C50" s="170"/>
      <c r="D50" s="170"/>
      <c r="E50" s="170"/>
      <c r="F50" s="170"/>
      <c r="G50" s="170"/>
      <c r="H50" s="170"/>
      <c r="I50" s="170"/>
    </row>
    <row r="51" spans="2:9">
      <c r="B51" s="170"/>
      <c r="C51" s="170"/>
      <c r="D51" s="170"/>
      <c r="E51" s="170"/>
      <c r="F51" s="170"/>
      <c r="G51" s="170"/>
      <c r="H51" s="170"/>
      <c r="I51" s="170"/>
    </row>
    <row r="52" spans="2:9">
      <c r="B52" s="170"/>
      <c r="C52" s="170"/>
      <c r="D52" s="170"/>
      <c r="E52" s="170"/>
      <c r="F52" s="170"/>
      <c r="G52" s="170"/>
      <c r="H52" s="170"/>
      <c r="I52" s="170"/>
    </row>
    <row r="53" spans="2:9">
      <c r="B53" s="170"/>
      <c r="C53" s="170"/>
      <c r="D53" s="170"/>
      <c r="E53" s="170"/>
      <c r="F53" s="170"/>
      <c r="G53" s="170"/>
      <c r="H53" s="170"/>
      <c r="I53" s="170"/>
    </row>
    <row r="54" spans="2:9">
      <c r="B54" s="170"/>
      <c r="C54" s="170"/>
      <c r="D54" s="170"/>
      <c r="E54" s="170"/>
      <c r="F54" s="170"/>
      <c r="G54" s="170"/>
      <c r="H54" s="170"/>
      <c r="I54" s="170"/>
    </row>
    <row r="55" spans="2:9">
      <c r="B55" s="170"/>
      <c r="C55" s="170"/>
      <c r="D55" s="170"/>
      <c r="E55" s="170"/>
      <c r="F55" s="170"/>
      <c r="G55" s="170"/>
      <c r="H55" s="170"/>
      <c r="I55" s="170"/>
    </row>
    <row r="56" spans="2:9">
      <c r="B56" s="170"/>
      <c r="C56" s="170"/>
      <c r="D56" s="170"/>
      <c r="E56" s="170"/>
      <c r="F56" s="170"/>
      <c r="G56" s="168"/>
      <c r="H56" s="168"/>
      <c r="I56" s="168"/>
    </row>
    <row r="57" spans="2:9">
      <c r="B57" s="170"/>
      <c r="C57" s="170"/>
      <c r="D57" s="170"/>
      <c r="E57" s="170"/>
      <c r="F57" s="170"/>
      <c r="G57" s="168"/>
      <c r="H57" s="168"/>
      <c r="I57" s="168"/>
    </row>
  </sheetData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19" workbookViewId="0">
      <selection activeCell="G11" sqref="G11"/>
    </sheetView>
  </sheetViews>
  <sheetFormatPr defaultRowHeight="13.2"/>
  <cols>
    <col min="1" max="1" width="25.6640625" customWidth="1"/>
    <col min="2" max="2" width="11.33203125" customWidth="1"/>
    <col min="3" max="15" width="16" style="67" customWidth="1"/>
  </cols>
  <sheetData>
    <row r="1" spans="1:30">
      <c r="A1" s="43" t="s">
        <v>28</v>
      </c>
      <c r="B1" s="43"/>
    </row>
    <row r="2" spans="1:30">
      <c r="A2" s="43" t="s">
        <v>27</v>
      </c>
      <c r="B2" s="43"/>
    </row>
    <row r="3" spans="1:30">
      <c r="A3" s="59" t="s">
        <v>123</v>
      </c>
      <c r="B3" s="9"/>
    </row>
    <row r="4" spans="1:30">
      <c r="A4" s="76" t="s">
        <v>52</v>
      </c>
    </row>
    <row r="5" spans="1:30"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3"/>
    </row>
    <row r="6" spans="1:30">
      <c r="A6" s="55" t="s">
        <v>59</v>
      </c>
      <c r="B6" s="55"/>
      <c r="N6" s="394"/>
    </row>
    <row r="7" spans="1:30">
      <c r="A7" s="43" t="s">
        <v>25</v>
      </c>
      <c r="B7" s="77" t="s">
        <v>49</v>
      </c>
      <c r="C7" s="395">
        <f>'Sales &amp; Revenue Adj.'!C5</f>
        <v>44197</v>
      </c>
      <c r="D7" s="395">
        <f>'Sales &amp; Revenue Adj.'!D5</f>
        <v>44228</v>
      </c>
      <c r="E7" s="395">
        <f>'Sales &amp; Revenue Adj.'!E5</f>
        <v>44256</v>
      </c>
      <c r="F7" s="395">
        <f>'Sales &amp; Revenue Adj.'!F5</f>
        <v>44287</v>
      </c>
      <c r="G7" s="395">
        <f>'Sales &amp; Revenue Adj.'!G5</f>
        <v>44317</v>
      </c>
      <c r="H7" s="395">
        <f>'Sales &amp; Revenue Adj.'!H5</f>
        <v>44348</v>
      </c>
      <c r="I7" s="395">
        <f>'Sales &amp; Revenue Adj.'!I5</f>
        <v>44378</v>
      </c>
      <c r="J7" s="395">
        <f>'Sales &amp; Revenue Adj.'!J5</f>
        <v>44409</v>
      </c>
      <c r="K7" s="395">
        <f>'Sales &amp; Revenue Adj.'!K5</f>
        <v>44440</v>
      </c>
      <c r="L7" s="395">
        <f>'Sales &amp; Revenue Adj.'!L5</f>
        <v>44470</v>
      </c>
      <c r="M7" s="395">
        <f>'Sales &amp; Revenue Adj.'!M5</f>
        <v>44501</v>
      </c>
      <c r="N7" s="395">
        <f>'Sales &amp; Revenue Adj.'!N5</f>
        <v>44531</v>
      </c>
      <c r="O7" s="396" t="s">
        <v>19</v>
      </c>
    </row>
    <row r="8" spans="1:30" s="74" customFormat="1">
      <c r="A8" s="75" t="s">
        <v>46</v>
      </c>
      <c r="B8" s="15">
        <v>5</v>
      </c>
      <c r="C8" s="68">
        <v>916060</v>
      </c>
      <c r="D8" s="68">
        <v>940400</v>
      </c>
      <c r="E8" s="68">
        <v>950880</v>
      </c>
      <c r="F8" s="68">
        <v>824060</v>
      </c>
      <c r="G8" s="68">
        <v>631620</v>
      </c>
      <c r="H8" s="397">
        <v>438860</v>
      </c>
      <c r="I8" s="68">
        <v>332660</v>
      </c>
      <c r="J8" s="68">
        <v>284420</v>
      </c>
      <c r="K8" s="68">
        <v>285040</v>
      </c>
      <c r="L8" s="68">
        <v>330840</v>
      </c>
      <c r="M8" s="68">
        <v>532060</v>
      </c>
      <c r="N8" s="68">
        <v>723120</v>
      </c>
      <c r="O8" s="397">
        <f>SUM(C8:N8)</f>
        <v>7190020</v>
      </c>
      <c r="Q8"/>
      <c r="R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</row>
    <row r="9" spans="1:30" s="74" customFormat="1">
      <c r="A9" s="73" t="s">
        <v>111</v>
      </c>
      <c r="B9" s="15">
        <v>7</v>
      </c>
      <c r="C9" s="68">
        <v>1225129863.6289999</v>
      </c>
      <c r="D9" s="68">
        <v>1184508190.4649999</v>
      </c>
      <c r="E9" s="68">
        <v>1180047669.4449999</v>
      </c>
      <c r="F9" s="68">
        <v>1011554637.399</v>
      </c>
      <c r="G9" s="68">
        <v>795031672.11399996</v>
      </c>
      <c r="H9" s="397">
        <v>740642244.37399995</v>
      </c>
      <c r="I9" s="68">
        <v>819671265.23300004</v>
      </c>
      <c r="J9" s="68">
        <v>770828127.00399995</v>
      </c>
      <c r="K9" s="68">
        <v>742748136.39699996</v>
      </c>
      <c r="L9" s="68">
        <v>759044638.75999999</v>
      </c>
      <c r="M9" s="68">
        <v>941045000.995</v>
      </c>
      <c r="N9" s="68">
        <v>1173161196.306</v>
      </c>
      <c r="O9" s="397">
        <f t="shared" ref="O9:O24" si="0">SUM(C9:N9)</f>
        <v>11343412642.121</v>
      </c>
      <c r="Q9"/>
      <c r="R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spans="1:30" s="74" customFormat="1">
      <c r="A10" s="75" t="s">
        <v>35</v>
      </c>
      <c r="B10" s="15">
        <v>8</v>
      </c>
      <c r="C10" s="68">
        <v>25951055.204</v>
      </c>
      <c r="D10" s="68">
        <v>25513558.454</v>
      </c>
      <c r="E10" s="68">
        <v>25011119.390999999</v>
      </c>
      <c r="F10" s="68">
        <v>23854014.18</v>
      </c>
      <c r="G10" s="68">
        <v>17990840.133000001</v>
      </c>
      <c r="H10" s="397">
        <v>18566794.929000001</v>
      </c>
      <c r="I10" s="68">
        <v>18883802.682999998</v>
      </c>
      <c r="J10" s="68">
        <v>18572067.642999999</v>
      </c>
      <c r="K10" s="68">
        <v>17832970.02</v>
      </c>
      <c r="L10" s="68">
        <v>18388752.732000001</v>
      </c>
      <c r="M10" s="68">
        <v>21059601.660999998</v>
      </c>
      <c r="N10" s="68">
        <v>25150997.548</v>
      </c>
      <c r="O10" s="397">
        <f t="shared" si="0"/>
        <v>256775574.57800004</v>
      </c>
      <c r="Q10"/>
      <c r="R1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74" customFormat="1">
      <c r="A11" s="75" t="s">
        <v>38</v>
      </c>
      <c r="B11" s="5">
        <v>10</v>
      </c>
      <c r="C11" s="68">
        <v>2221023.06</v>
      </c>
      <c r="D11" s="68">
        <v>1656829.02</v>
      </c>
      <c r="E11" s="68">
        <v>2216287.92</v>
      </c>
      <c r="F11" s="68">
        <v>2434020</v>
      </c>
      <c r="G11" s="68">
        <v>1466880</v>
      </c>
      <c r="H11" s="397">
        <v>1370760</v>
      </c>
      <c r="I11" s="68">
        <v>2132220</v>
      </c>
      <c r="J11" s="68">
        <v>1374900</v>
      </c>
      <c r="K11" s="68">
        <v>1761900</v>
      </c>
      <c r="L11" s="68">
        <v>1569420</v>
      </c>
      <c r="M11" s="68">
        <v>1446600</v>
      </c>
      <c r="N11" s="68">
        <v>2010480</v>
      </c>
      <c r="O11" s="397">
        <f t="shared" si="0"/>
        <v>21661320</v>
      </c>
      <c r="Q11"/>
      <c r="R1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0" s="74" customFormat="1">
      <c r="A12" s="75" t="s">
        <v>36</v>
      </c>
      <c r="B12" s="15">
        <v>11</v>
      </c>
      <c r="C12" s="68">
        <v>12756090.57</v>
      </c>
      <c r="D12" s="68">
        <v>11786765.419</v>
      </c>
      <c r="E12" s="68">
        <v>11748760.131999999</v>
      </c>
      <c r="F12" s="68">
        <v>13099764.209000001</v>
      </c>
      <c r="G12" s="68">
        <v>10159767.811000001</v>
      </c>
      <c r="H12" s="397">
        <v>8953095.6870000008</v>
      </c>
      <c r="I12" s="68">
        <v>10204408.104</v>
      </c>
      <c r="J12" s="68">
        <v>10191514.009</v>
      </c>
      <c r="K12" s="68">
        <v>9973510.6040000003</v>
      </c>
      <c r="L12" s="68">
        <v>9409721.7420000006</v>
      </c>
      <c r="M12" s="68">
        <v>11538066.138</v>
      </c>
      <c r="N12" s="68">
        <v>13360527.778999999</v>
      </c>
      <c r="O12" s="397">
        <f t="shared" si="0"/>
        <v>133181992.20400001</v>
      </c>
      <c r="Q12"/>
      <c r="R1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s="74" customFormat="1">
      <c r="A13" s="75" t="s">
        <v>37</v>
      </c>
      <c r="B13" s="15">
        <v>12</v>
      </c>
      <c r="C13" s="68">
        <v>1244320</v>
      </c>
      <c r="D13" s="68">
        <v>1494680</v>
      </c>
      <c r="E13" s="68">
        <v>1367540</v>
      </c>
      <c r="F13" s="68">
        <v>1228700</v>
      </c>
      <c r="G13" s="68">
        <v>1096220</v>
      </c>
      <c r="H13" s="397">
        <v>1033860</v>
      </c>
      <c r="I13" s="68">
        <v>1090180</v>
      </c>
      <c r="J13" s="68">
        <v>1565820</v>
      </c>
      <c r="K13" s="68">
        <v>1381500</v>
      </c>
      <c r="L13" s="68">
        <v>1096340</v>
      </c>
      <c r="M13" s="68">
        <v>2189660</v>
      </c>
      <c r="N13" s="68">
        <v>1144549</v>
      </c>
      <c r="O13" s="397">
        <f t="shared" si="0"/>
        <v>15933369</v>
      </c>
      <c r="Q13"/>
      <c r="R13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spans="1:30" s="74" customFormat="1">
      <c r="A14" s="73" t="s">
        <v>108</v>
      </c>
      <c r="B14" s="15">
        <v>24</v>
      </c>
      <c r="C14" s="68">
        <v>202228214.89399999</v>
      </c>
      <c r="D14" s="68">
        <v>214833202.66600001</v>
      </c>
      <c r="E14" s="68">
        <v>206395713.59500003</v>
      </c>
      <c r="F14" s="68">
        <v>216759924.70199999</v>
      </c>
      <c r="G14" s="68">
        <v>172181442.627</v>
      </c>
      <c r="H14" s="397">
        <v>204779736.141</v>
      </c>
      <c r="I14" s="68">
        <v>214062505.45499998</v>
      </c>
      <c r="J14" s="68">
        <v>197102463.97800002</v>
      </c>
      <c r="K14" s="68">
        <v>194137190.52500001</v>
      </c>
      <c r="L14" s="68">
        <v>194062393.07999998</v>
      </c>
      <c r="M14" s="68">
        <v>200310848.57599998</v>
      </c>
      <c r="N14" s="68">
        <v>225240649.78299996</v>
      </c>
      <c r="O14" s="397">
        <f t="shared" si="0"/>
        <v>2442094286.0219998</v>
      </c>
      <c r="Q14"/>
      <c r="R1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s="74" customFormat="1">
      <c r="A15" s="73" t="s">
        <v>109</v>
      </c>
      <c r="B15" s="15">
        <v>25</v>
      </c>
      <c r="C15" s="68">
        <v>213326995.10300002</v>
      </c>
      <c r="D15" s="68">
        <v>232200420.43399999</v>
      </c>
      <c r="E15" s="68">
        <v>237276978.22000003</v>
      </c>
      <c r="F15" s="68">
        <v>227386345.972</v>
      </c>
      <c r="G15" s="68">
        <v>206197811.04799998</v>
      </c>
      <c r="H15" s="397">
        <v>227444322.414</v>
      </c>
      <c r="I15" s="68">
        <v>243377820.53600001</v>
      </c>
      <c r="J15" s="68">
        <v>233728656.76799998</v>
      </c>
      <c r="K15" s="68">
        <v>235505489.648</v>
      </c>
      <c r="L15" s="68">
        <v>219482821.71799999</v>
      </c>
      <c r="M15" s="68">
        <v>228548668.35399997</v>
      </c>
      <c r="N15" s="68">
        <v>240155423.63700002</v>
      </c>
      <c r="O15" s="397">
        <f t="shared" si="0"/>
        <v>2744631753.8520002</v>
      </c>
      <c r="Q15"/>
      <c r="R15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s="74" customFormat="1">
      <c r="A16" s="73" t="s">
        <v>110</v>
      </c>
      <c r="B16" s="15">
        <v>26</v>
      </c>
      <c r="C16" s="68">
        <v>134614800.11899999</v>
      </c>
      <c r="D16" s="68">
        <v>142840791.66800001</v>
      </c>
      <c r="E16" s="68">
        <v>148424080.67499998</v>
      </c>
      <c r="F16" s="68">
        <v>139894759.067</v>
      </c>
      <c r="G16" s="68">
        <v>128923459.22799999</v>
      </c>
      <c r="H16" s="397">
        <v>153575541.95499998</v>
      </c>
      <c r="I16" s="68">
        <v>155056193.29299998</v>
      </c>
      <c r="J16" s="68">
        <v>157837250.023</v>
      </c>
      <c r="K16" s="68">
        <v>153257798.05899999</v>
      </c>
      <c r="L16" s="68">
        <v>139339209.80500001</v>
      </c>
      <c r="M16" s="68">
        <v>148792987.41299999</v>
      </c>
      <c r="N16" s="68">
        <v>152670503.72999999</v>
      </c>
      <c r="O16" s="397">
        <f t="shared" si="0"/>
        <v>1755227375.0349998</v>
      </c>
      <c r="Q16"/>
      <c r="R1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30" s="74" customFormat="1">
      <c r="A17" s="75" t="s">
        <v>5</v>
      </c>
      <c r="B17" s="15">
        <v>29</v>
      </c>
      <c r="C17" s="68">
        <v>319014.89500000002</v>
      </c>
      <c r="D17" s="68">
        <v>392966.973</v>
      </c>
      <c r="E17" s="68">
        <v>202175.46299999999</v>
      </c>
      <c r="F17" s="68">
        <v>550146.01199999999</v>
      </c>
      <c r="G17" s="68">
        <v>883559.995</v>
      </c>
      <c r="H17" s="397">
        <v>1503978.6040000001</v>
      </c>
      <c r="I17" s="68">
        <v>2917794.5819999999</v>
      </c>
      <c r="J17" s="68">
        <v>4593520.6050000004</v>
      </c>
      <c r="K17" s="68">
        <v>2783118.04</v>
      </c>
      <c r="L17" s="68">
        <v>1404147.6740000001</v>
      </c>
      <c r="M17" s="68">
        <v>473818.58600000001</v>
      </c>
      <c r="N17" s="68">
        <v>587966.64099999995</v>
      </c>
      <c r="O17" s="397">
        <f t="shared" si="0"/>
        <v>16612208.07</v>
      </c>
      <c r="Q17"/>
      <c r="R1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0" s="74" customFormat="1">
      <c r="A18" s="75" t="s">
        <v>6</v>
      </c>
      <c r="B18" s="15">
        <v>31</v>
      </c>
      <c r="C18" s="68">
        <v>86761582.208000004</v>
      </c>
      <c r="D18" s="68">
        <v>105959789.013</v>
      </c>
      <c r="E18" s="68">
        <v>110613836.44500001</v>
      </c>
      <c r="F18" s="68">
        <v>108746025.31299999</v>
      </c>
      <c r="G18" s="68">
        <v>99122512.819000006</v>
      </c>
      <c r="H18" s="397">
        <v>121360616.58500001</v>
      </c>
      <c r="I18" s="68">
        <v>111451065.377</v>
      </c>
      <c r="J18" s="68">
        <v>105283725.095</v>
      </c>
      <c r="K18" s="68">
        <v>106187226.566</v>
      </c>
      <c r="L18" s="68">
        <v>109679464.086</v>
      </c>
      <c r="M18" s="68">
        <v>112105826.211</v>
      </c>
      <c r="N18" s="68">
        <v>107003248.67899999</v>
      </c>
      <c r="O18" s="397">
        <f t="shared" si="0"/>
        <v>1284274918.3969998</v>
      </c>
      <c r="Q18"/>
      <c r="R1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0" s="74" customFormat="1">
      <c r="A19" s="44" t="s">
        <v>7</v>
      </c>
      <c r="B19" s="15">
        <v>35</v>
      </c>
      <c r="C19" s="68">
        <v>5820</v>
      </c>
      <c r="D19" s="68">
        <v>9300</v>
      </c>
      <c r="E19" s="68">
        <v>9900</v>
      </c>
      <c r="F19" s="68">
        <v>6120</v>
      </c>
      <c r="G19" s="68">
        <v>391320</v>
      </c>
      <c r="H19" s="397">
        <v>678180</v>
      </c>
      <c r="I19" s="68">
        <v>745080</v>
      </c>
      <c r="J19" s="68">
        <v>0</v>
      </c>
      <c r="K19" s="68">
        <v>0</v>
      </c>
      <c r="L19" s="68">
        <v>2466166.44</v>
      </c>
      <c r="M19" s="68">
        <v>270000</v>
      </c>
      <c r="N19" s="68">
        <v>15913.56</v>
      </c>
      <c r="O19" s="397">
        <f t="shared" si="0"/>
        <v>4597799.9999999991</v>
      </c>
      <c r="Q19"/>
      <c r="R1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s="74" customFormat="1">
      <c r="A20" s="75" t="s">
        <v>8</v>
      </c>
      <c r="B20" s="15">
        <v>43</v>
      </c>
      <c r="C20" s="68">
        <v>10413393.275</v>
      </c>
      <c r="D20" s="68">
        <v>11189689.205</v>
      </c>
      <c r="E20" s="68">
        <v>14287041.404999999</v>
      </c>
      <c r="F20" s="68">
        <v>13109198.175000001</v>
      </c>
      <c r="G20" s="68">
        <v>8996457.8149999995</v>
      </c>
      <c r="H20" s="397">
        <v>9664467.0700000003</v>
      </c>
      <c r="I20" s="68">
        <v>8394954.3350000009</v>
      </c>
      <c r="J20" s="68">
        <v>5347480.1749999998</v>
      </c>
      <c r="K20" s="68">
        <v>6682922.6550000003</v>
      </c>
      <c r="L20" s="68">
        <v>6979315.5449999999</v>
      </c>
      <c r="M20" s="68">
        <v>11052604.244999999</v>
      </c>
      <c r="N20" s="68">
        <v>10887231.67</v>
      </c>
      <c r="O20" s="397">
        <f t="shared" si="0"/>
        <v>117004755.57000001</v>
      </c>
      <c r="Q20"/>
      <c r="R2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s="74" customFormat="1">
      <c r="A21" s="75" t="s">
        <v>128</v>
      </c>
      <c r="B21" s="78" t="s">
        <v>129</v>
      </c>
      <c r="C21" s="68">
        <v>0</v>
      </c>
      <c r="D21" s="68">
        <v>47436905.559</v>
      </c>
      <c r="E21" s="68">
        <v>247949.856</v>
      </c>
      <c r="F21" s="68">
        <v>24476462.294</v>
      </c>
      <c r="G21" s="68">
        <v>22171246.188999999</v>
      </c>
      <c r="H21" s="397">
        <v>21958511.208000001</v>
      </c>
      <c r="I21" s="68">
        <v>23058723.956999999</v>
      </c>
      <c r="J21" s="68">
        <v>23850790.868000001</v>
      </c>
      <c r="K21" s="68">
        <v>24145778.601</v>
      </c>
      <c r="L21" s="68">
        <v>22009194.785999998</v>
      </c>
      <c r="M21" s="68">
        <v>41332532.652000003</v>
      </c>
      <c r="N21" s="68">
        <v>4939071.3130000001</v>
      </c>
      <c r="O21" s="397">
        <f t="shared" si="0"/>
        <v>255627167.28300002</v>
      </c>
      <c r="Q21"/>
      <c r="R2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0">
      <c r="A22" s="58" t="s">
        <v>113</v>
      </c>
      <c r="B22" s="78" t="s">
        <v>48</v>
      </c>
      <c r="C22" s="68">
        <v>21505781.832000002</v>
      </c>
      <c r="D22" s="68">
        <v>79557938.265000001</v>
      </c>
      <c r="E22" s="68">
        <v>28735665.606999997</v>
      </c>
      <c r="F22" s="68">
        <v>45862397.206</v>
      </c>
      <c r="G22" s="68">
        <v>56391545.413999997</v>
      </c>
      <c r="H22" s="397">
        <v>52794299.651999995</v>
      </c>
      <c r="I22" s="68">
        <v>51290042.205000006</v>
      </c>
      <c r="J22" s="68">
        <v>42833582.866999999</v>
      </c>
      <c r="K22" s="68">
        <v>58441738.920000002</v>
      </c>
      <c r="L22" s="68">
        <v>54795032.277999997</v>
      </c>
      <c r="M22" s="68">
        <v>73419955.623999998</v>
      </c>
      <c r="N22" s="68">
        <v>31248771.395000003</v>
      </c>
      <c r="O22" s="397">
        <f t="shared" si="0"/>
        <v>596876751.26499999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>
      <c r="A23" s="58" t="s">
        <v>112</v>
      </c>
      <c r="B23" s="78" t="s">
        <v>47</v>
      </c>
      <c r="C23" s="68">
        <v>5492547.6520000016</v>
      </c>
      <c r="D23" s="68">
        <v>5554887.4879999999</v>
      </c>
      <c r="E23" s="68">
        <v>6022390.3779999996</v>
      </c>
      <c r="F23" s="68">
        <v>5782065.4799999995</v>
      </c>
      <c r="G23" s="68">
        <v>4904920.8459999999</v>
      </c>
      <c r="H23" s="397">
        <v>5916070.8030000003</v>
      </c>
      <c r="I23" s="68">
        <v>6435976.3790000007</v>
      </c>
      <c r="J23" s="68">
        <v>5234448.6249999981</v>
      </c>
      <c r="K23" s="68">
        <v>4688701.9610000011</v>
      </c>
      <c r="L23" s="68">
        <v>6237168.6469999999</v>
      </c>
      <c r="M23" s="68">
        <v>5144726.5819999995</v>
      </c>
      <c r="N23" s="68">
        <v>5915163.5000000009</v>
      </c>
      <c r="O23" s="397">
        <f t="shared" si="0"/>
        <v>67329068.341000006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63" customFormat="1">
      <c r="A24" s="61" t="s">
        <v>22</v>
      </c>
      <c r="B24" s="61"/>
      <c r="C24" s="175">
        <f t="shared" ref="C24:N24" si="1">SUM(C8:C23)</f>
        <v>1942886562.4409997</v>
      </c>
      <c r="D24" s="175">
        <f t="shared" si="1"/>
        <v>2065876314.6289997</v>
      </c>
      <c r="E24" s="175">
        <f t="shared" si="1"/>
        <v>1973557988.5320001</v>
      </c>
      <c r="F24" s="175">
        <f t="shared" si="1"/>
        <v>1835568640.0089998</v>
      </c>
      <c r="G24" s="175">
        <f t="shared" si="1"/>
        <v>1526541276.0389996</v>
      </c>
      <c r="H24" s="175">
        <f t="shared" si="1"/>
        <v>1570681339.4219999</v>
      </c>
      <c r="I24" s="175">
        <f t="shared" si="1"/>
        <v>1669104692.1389999</v>
      </c>
      <c r="J24" s="175">
        <f t="shared" si="1"/>
        <v>1578628767.6600001</v>
      </c>
      <c r="K24" s="175">
        <f t="shared" si="1"/>
        <v>1559813021.9959998</v>
      </c>
      <c r="L24" s="175">
        <f t="shared" si="1"/>
        <v>1546294627.293</v>
      </c>
      <c r="M24" s="175">
        <f t="shared" si="1"/>
        <v>1799262957.0369999</v>
      </c>
      <c r="N24" s="175">
        <f t="shared" si="1"/>
        <v>1994214814.5410001</v>
      </c>
      <c r="O24" s="397">
        <f t="shared" si="0"/>
        <v>21062431001.737999</v>
      </c>
    </row>
    <row r="25" spans="1:30" ht="15">
      <c r="A25" s="9"/>
      <c r="B25" s="9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9"/>
      <c r="O25" s="398"/>
    </row>
    <row r="26" spans="1:30">
      <c r="N26" s="5"/>
    </row>
    <row r="27" spans="1:30">
      <c r="A27" s="43" t="s">
        <v>28</v>
      </c>
    </row>
    <row r="28" spans="1:30">
      <c r="A28" s="43" t="s">
        <v>103</v>
      </c>
    </row>
    <row r="29" spans="1:30">
      <c r="A29" t="s">
        <v>117</v>
      </c>
    </row>
    <row r="30" spans="1:30">
      <c r="A30" s="43" t="s">
        <v>59</v>
      </c>
      <c r="B30" s="43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394"/>
    </row>
    <row r="31" spans="1:30">
      <c r="A31" s="43" t="s">
        <v>25</v>
      </c>
      <c r="B31" s="43" t="s">
        <v>49</v>
      </c>
      <c r="C31" s="395">
        <f t="shared" ref="C31:N31" si="2">C7</f>
        <v>44197</v>
      </c>
      <c r="D31" s="395">
        <f t="shared" si="2"/>
        <v>44228</v>
      </c>
      <c r="E31" s="395">
        <f t="shared" si="2"/>
        <v>44256</v>
      </c>
      <c r="F31" s="395">
        <f t="shared" si="2"/>
        <v>44287</v>
      </c>
      <c r="G31" s="395">
        <f t="shared" si="2"/>
        <v>44317</v>
      </c>
      <c r="H31" s="395">
        <f t="shared" si="2"/>
        <v>44348</v>
      </c>
      <c r="I31" s="395">
        <f t="shared" si="2"/>
        <v>44378</v>
      </c>
      <c r="J31" s="395">
        <f t="shared" si="2"/>
        <v>44409</v>
      </c>
      <c r="K31" s="395">
        <f t="shared" si="2"/>
        <v>44440</v>
      </c>
      <c r="L31" s="395">
        <f t="shared" si="2"/>
        <v>44470</v>
      </c>
      <c r="M31" s="395">
        <f t="shared" si="2"/>
        <v>44501</v>
      </c>
      <c r="N31" s="395">
        <f t="shared" si="2"/>
        <v>44531</v>
      </c>
    </row>
    <row r="32" spans="1:30">
      <c r="A32" s="75" t="s">
        <v>46</v>
      </c>
      <c r="B32" s="155">
        <v>5</v>
      </c>
      <c r="C32" s="168">
        <v>8</v>
      </c>
      <c r="D32" s="168">
        <v>8</v>
      </c>
      <c r="E32" s="168">
        <v>8</v>
      </c>
      <c r="F32" s="168">
        <v>8</v>
      </c>
      <c r="G32" s="168">
        <v>8</v>
      </c>
      <c r="H32" s="168">
        <v>8</v>
      </c>
      <c r="I32" s="168">
        <v>8</v>
      </c>
      <c r="J32" s="168">
        <v>8</v>
      </c>
      <c r="K32" s="168">
        <v>8</v>
      </c>
      <c r="L32" s="168">
        <v>8</v>
      </c>
      <c r="M32" s="168">
        <v>8</v>
      </c>
      <c r="N32" s="168">
        <v>8</v>
      </c>
    </row>
    <row r="33" spans="1:14">
      <c r="A33" s="73" t="s">
        <v>111</v>
      </c>
      <c r="B33" s="155">
        <v>7</v>
      </c>
      <c r="C33" s="168">
        <v>1048014</v>
      </c>
      <c r="D33" s="168">
        <v>1048672</v>
      </c>
      <c r="E33" s="168">
        <v>1049587</v>
      </c>
      <c r="F33" s="168">
        <v>1050604</v>
      </c>
      <c r="G33" s="168">
        <v>1051255</v>
      </c>
      <c r="H33" s="168">
        <v>1052160</v>
      </c>
      <c r="I33" s="168">
        <v>1052420</v>
      </c>
      <c r="J33" s="168">
        <v>1053998</v>
      </c>
      <c r="K33" s="168">
        <v>1055230</v>
      </c>
      <c r="L33" s="168">
        <v>1056944</v>
      </c>
      <c r="M33" s="168">
        <v>1058179</v>
      </c>
      <c r="N33" s="168">
        <v>1059237</v>
      </c>
    </row>
    <row r="34" spans="1:14">
      <c r="A34" s="75" t="s">
        <v>35</v>
      </c>
      <c r="B34" s="155">
        <v>8</v>
      </c>
      <c r="C34" s="168">
        <v>30693</v>
      </c>
      <c r="D34" s="168">
        <v>30711</v>
      </c>
      <c r="E34" s="168">
        <v>30755</v>
      </c>
      <c r="F34" s="168">
        <v>30786</v>
      </c>
      <c r="G34" s="168">
        <v>30803</v>
      </c>
      <c r="H34" s="168">
        <v>30837</v>
      </c>
      <c r="I34" s="168">
        <v>30828</v>
      </c>
      <c r="J34" s="168">
        <v>30849</v>
      </c>
      <c r="K34" s="168">
        <v>30870</v>
      </c>
      <c r="L34" s="168">
        <v>30919</v>
      </c>
      <c r="M34" s="168">
        <v>30914</v>
      </c>
      <c r="N34" s="168">
        <v>30923</v>
      </c>
    </row>
    <row r="35" spans="1:14">
      <c r="A35" s="75" t="s">
        <v>38</v>
      </c>
      <c r="B35" s="155">
        <v>10</v>
      </c>
      <c r="C35" s="168">
        <v>13</v>
      </c>
      <c r="D35" s="168">
        <v>13</v>
      </c>
      <c r="E35" s="168">
        <v>13</v>
      </c>
      <c r="F35" s="168">
        <v>13</v>
      </c>
      <c r="G35" s="168">
        <v>13</v>
      </c>
      <c r="H35" s="168">
        <v>13</v>
      </c>
      <c r="I35" s="168">
        <v>13</v>
      </c>
      <c r="J35" s="168">
        <v>13</v>
      </c>
      <c r="K35" s="168">
        <v>13</v>
      </c>
      <c r="L35" s="168">
        <v>13</v>
      </c>
      <c r="M35" s="168">
        <v>13</v>
      </c>
      <c r="N35" s="168">
        <v>13</v>
      </c>
    </row>
    <row r="36" spans="1:14">
      <c r="A36" s="75" t="s">
        <v>36</v>
      </c>
      <c r="B36" s="155">
        <v>11</v>
      </c>
      <c r="C36" s="168">
        <v>311</v>
      </c>
      <c r="D36" s="168">
        <v>314</v>
      </c>
      <c r="E36" s="168">
        <v>313</v>
      </c>
      <c r="F36" s="168">
        <v>313</v>
      </c>
      <c r="G36" s="168">
        <v>311</v>
      </c>
      <c r="H36" s="168">
        <v>311</v>
      </c>
      <c r="I36" s="168">
        <v>306</v>
      </c>
      <c r="J36" s="168">
        <v>308</v>
      </c>
      <c r="K36" s="168">
        <v>307</v>
      </c>
      <c r="L36" s="168">
        <v>307</v>
      </c>
      <c r="M36" s="168">
        <v>309</v>
      </c>
      <c r="N36" s="168">
        <v>308</v>
      </c>
    </row>
    <row r="37" spans="1:14">
      <c r="A37" s="75" t="s">
        <v>37</v>
      </c>
      <c r="B37" s="155">
        <v>12</v>
      </c>
      <c r="C37" s="168">
        <v>12</v>
      </c>
      <c r="D37" s="168">
        <v>12</v>
      </c>
      <c r="E37" s="168">
        <v>12</v>
      </c>
      <c r="F37" s="168">
        <v>12</v>
      </c>
      <c r="G37" s="168">
        <v>12</v>
      </c>
      <c r="H37" s="168">
        <v>12</v>
      </c>
      <c r="I37" s="168">
        <v>12</v>
      </c>
      <c r="J37" s="168">
        <v>12</v>
      </c>
      <c r="K37" s="168">
        <v>12</v>
      </c>
      <c r="L37" s="168">
        <v>12</v>
      </c>
      <c r="M37" s="168">
        <v>12</v>
      </c>
      <c r="N37" s="168">
        <v>12</v>
      </c>
    </row>
    <row r="38" spans="1:14">
      <c r="A38" s="73" t="s">
        <v>108</v>
      </c>
      <c r="B38" s="155">
        <v>24</v>
      </c>
      <c r="C38" s="168">
        <v>93349</v>
      </c>
      <c r="D38" s="168">
        <v>93581</v>
      </c>
      <c r="E38" s="168">
        <v>93684</v>
      </c>
      <c r="F38" s="168">
        <v>93904</v>
      </c>
      <c r="G38" s="168">
        <v>94080</v>
      </c>
      <c r="H38" s="168">
        <v>94079</v>
      </c>
      <c r="I38" s="168">
        <v>94240</v>
      </c>
      <c r="J38" s="168">
        <v>94313</v>
      </c>
      <c r="K38" s="168">
        <v>94358</v>
      </c>
      <c r="L38" s="168">
        <v>94452</v>
      </c>
      <c r="M38" s="168">
        <v>94374</v>
      </c>
      <c r="N38" s="168">
        <v>94308</v>
      </c>
    </row>
    <row r="39" spans="1:14">
      <c r="A39" s="73" t="s">
        <v>109</v>
      </c>
      <c r="B39" s="155">
        <v>25</v>
      </c>
      <c r="C39" s="168">
        <v>7582</v>
      </c>
      <c r="D39" s="168">
        <v>7600</v>
      </c>
      <c r="E39" s="168">
        <v>7608</v>
      </c>
      <c r="F39" s="168">
        <v>7613</v>
      </c>
      <c r="G39" s="168">
        <v>7630</v>
      </c>
      <c r="H39" s="168">
        <v>7635</v>
      </c>
      <c r="I39" s="168">
        <v>7651</v>
      </c>
      <c r="J39" s="168">
        <v>7659</v>
      </c>
      <c r="K39" s="168">
        <v>7668</v>
      </c>
      <c r="L39" s="168">
        <v>7668</v>
      </c>
      <c r="M39" s="168">
        <v>7673</v>
      </c>
      <c r="N39" s="168">
        <v>7682</v>
      </c>
    </row>
    <row r="40" spans="1:14">
      <c r="A40" s="73" t="s">
        <v>110</v>
      </c>
      <c r="B40" s="155">
        <v>26</v>
      </c>
      <c r="C40" s="168">
        <v>812</v>
      </c>
      <c r="D40" s="168">
        <v>812</v>
      </c>
      <c r="E40" s="168">
        <v>811</v>
      </c>
      <c r="F40" s="168">
        <v>812</v>
      </c>
      <c r="G40" s="168">
        <v>813</v>
      </c>
      <c r="H40" s="168">
        <v>816</v>
      </c>
      <c r="I40" s="168">
        <v>817</v>
      </c>
      <c r="J40" s="168">
        <v>818</v>
      </c>
      <c r="K40" s="168">
        <v>820</v>
      </c>
      <c r="L40" s="168">
        <v>820</v>
      </c>
      <c r="M40" s="168">
        <v>823</v>
      </c>
      <c r="N40" s="168">
        <v>824</v>
      </c>
    </row>
    <row r="41" spans="1:14">
      <c r="A41" s="75" t="s">
        <v>5</v>
      </c>
      <c r="B41" s="155">
        <v>29</v>
      </c>
      <c r="C41" s="168">
        <v>557</v>
      </c>
      <c r="D41" s="168">
        <v>558</v>
      </c>
      <c r="E41" s="168">
        <v>560</v>
      </c>
      <c r="F41" s="168">
        <v>595</v>
      </c>
      <c r="G41" s="168">
        <v>634</v>
      </c>
      <c r="H41" s="168">
        <v>651</v>
      </c>
      <c r="I41" s="168">
        <v>693</v>
      </c>
      <c r="J41" s="168">
        <v>690</v>
      </c>
      <c r="K41" s="168">
        <v>667</v>
      </c>
      <c r="L41" s="168">
        <v>632</v>
      </c>
      <c r="M41" s="168">
        <v>590</v>
      </c>
      <c r="N41" s="168">
        <v>584</v>
      </c>
    </row>
    <row r="42" spans="1:14">
      <c r="A42" s="75" t="s">
        <v>6</v>
      </c>
      <c r="B42" s="155">
        <v>31</v>
      </c>
      <c r="C42" s="168">
        <v>475</v>
      </c>
      <c r="D42" s="168">
        <v>472</v>
      </c>
      <c r="E42" s="168">
        <v>472</v>
      </c>
      <c r="F42" s="168">
        <v>472</v>
      </c>
      <c r="G42" s="168">
        <v>473</v>
      </c>
      <c r="H42" s="168">
        <v>476</v>
      </c>
      <c r="I42" s="168">
        <v>477</v>
      </c>
      <c r="J42" s="168">
        <v>476</v>
      </c>
      <c r="K42" s="168">
        <v>476</v>
      </c>
      <c r="L42" s="168">
        <v>480</v>
      </c>
      <c r="M42" s="168">
        <v>481</v>
      </c>
      <c r="N42" s="168">
        <v>481</v>
      </c>
    </row>
    <row r="43" spans="1:14">
      <c r="A43" s="44" t="s">
        <v>7</v>
      </c>
      <c r="B43" s="155">
        <v>35</v>
      </c>
      <c r="C43" s="168">
        <v>2</v>
      </c>
      <c r="D43" s="168">
        <v>2</v>
      </c>
      <c r="E43" s="168">
        <v>2</v>
      </c>
      <c r="F43" s="168">
        <v>2</v>
      </c>
      <c r="G43" s="168">
        <v>2</v>
      </c>
      <c r="H43" s="168">
        <v>2</v>
      </c>
      <c r="I43" s="168">
        <v>2</v>
      </c>
      <c r="J43" s="168">
        <v>1</v>
      </c>
      <c r="K43" s="168">
        <v>1</v>
      </c>
      <c r="L43" s="168">
        <v>2</v>
      </c>
      <c r="M43" s="168">
        <v>2</v>
      </c>
      <c r="N43" s="168">
        <v>2</v>
      </c>
    </row>
    <row r="44" spans="1:14">
      <c r="A44" s="75" t="s">
        <v>8</v>
      </c>
      <c r="B44" s="155">
        <v>43</v>
      </c>
      <c r="C44" s="168">
        <v>146</v>
      </c>
      <c r="D44" s="168">
        <v>146</v>
      </c>
      <c r="E44" s="168">
        <v>146</v>
      </c>
      <c r="F44" s="168">
        <v>146</v>
      </c>
      <c r="G44" s="168">
        <v>146</v>
      </c>
      <c r="H44" s="168">
        <v>146</v>
      </c>
      <c r="I44" s="168">
        <v>146</v>
      </c>
      <c r="J44" s="168">
        <v>146</v>
      </c>
      <c r="K44" s="168">
        <v>146</v>
      </c>
      <c r="L44" s="168">
        <v>146</v>
      </c>
      <c r="M44" s="168">
        <v>146</v>
      </c>
      <c r="N44" s="168">
        <v>145</v>
      </c>
    </row>
    <row r="45" spans="1:14">
      <c r="A45" s="58" t="s">
        <v>113</v>
      </c>
      <c r="B45" s="155" t="s">
        <v>48</v>
      </c>
      <c r="C45" s="168">
        <v>23</v>
      </c>
      <c r="D45" s="168">
        <v>23</v>
      </c>
      <c r="E45" s="168">
        <v>23</v>
      </c>
      <c r="F45" s="168">
        <v>23</v>
      </c>
      <c r="G45" s="168">
        <v>23</v>
      </c>
      <c r="H45" s="168">
        <v>23</v>
      </c>
      <c r="I45" s="168">
        <v>23</v>
      </c>
      <c r="J45" s="168">
        <v>23</v>
      </c>
      <c r="K45" s="168">
        <v>23</v>
      </c>
      <c r="L45" s="168">
        <v>23</v>
      </c>
      <c r="M45" s="168">
        <v>23</v>
      </c>
      <c r="N45" s="168">
        <v>23</v>
      </c>
    </row>
    <row r="46" spans="1:14">
      <c r="A46" s="58" t="s">
        <v>112</v>
      </c>
      <c r="B46" s="155" t="s">
        <v>47</v>
      </c>
      <c r="C46" s="168">
        <v>8707</v>
      </c>
      <c r="D46" s="168">
        <v>8711</v>
      </c>
      <c r="E46" s="168">
        <v>8723</v>
      </c>
      <c r="F46" s="168">
        <v>8744</v>
      </c>
      <c r="G46" s="168">
        <v>8795</v>
      </c>
      <c r="H46" s="168">
        <v>8787</v>
      </c>
      <c r="I46" s="168">
        <v>8812</v>
      </c>
      <c r="J46" s="168">
        <v>8809</v>
      </c>
      <c r="K46" s="168">
        <v>8821</v>
      </c>
      <c r="L46" s="168">
        <v>8827</v>
      </c>
      <c r="M46" s="168">
        <v>8848</v>
      </c>
      <c r="N46" s="168">
        <v>8892</v>
      </c>
    </row>
    <row r="47" spans="1:14">
      <c r="A47" s="198" t="s">
        <v>128</v>
      </c>
      <c r="B47" s="155"/>
      <c r="C47" s="168">
        <v>82</v>
      </c>
      <c r="D47" s="168">
        <v>82</v>
      </c>
      <c r="E47" s="168">
        <v>81</v>
      </c>
      <c r="F47" s="168">
        <v>81</v>
      </c>
      <c r="G47" s="168">
        <v>81</v>
      </c>
      <c r="H47" s="168">
        <v>81</v>
      </c>
      <c r="I47" s="168">
        <v>81</v>
      </c>
      <c r="J47" s="168">
        <v>81</v>
      </c>
      <c r="K47" s="168">
        <v>81</v>
      </c>
      <c r="L47" s="168">
        <v>82</v>
      </c>
      <c r="M47" s="168">
        <v>82</v>
      </c>
      <c r="N47" s="168">
        <v>84</v>
      </c>
    </row>
    <row r="48" spans="1:14">
      <c r="A48" t="s">
        <v>104</v>
      </c>
      <c r="B48" s="155"/>
      <c r="C48" s="168">
        <v>13</v>
      </c>
      <c r="D48" s="168">
        <v>13</v>
      </c>
      <c r="E48" s="168">
        <v>13</v>
      </c>
      <c r="F48" s="168">
        <v>13</v>
      </c>
      <c r="G48" s="168">
        <v>13</v>
      </c>
      <c r="H48" s="168">
        <v>13</v>
      </c>
      <c r="I48" s="168">
        <v>13</v>
      </c>
      <c r="J48" s="168">
        <v>13</v>
      </c>
      <c r="K48" s="168">
        <v>13</v>
      </c>
      <c r="L48" s="168">
        <v>13</v>
      </c>
      <c r="M48" s="168">
        <v>13</v>
      </c>
      <c r="N48" s="168">
        <v>13</v>
      </c>
    </row>
    <row r="49" spans="1:14">
      <c r="A49" t="s">
        <v>105</v>
      </c>
      <c r="B49" s="155"/>
      <c r="C49" s="168">
        <v>3</v>
      </c>
      <c r="D49" s="168">
        <v>3</v>
      </c>
      <c r="E49" s="168">
        <v>3</v>
      </c>
      <c r="F49" s="168">
        <v>3</v>
      </c>
      <c r="G49" s="168">
        <v>3</v>
      </c>
      <c r="H49" s="168">
        <v>3</v>
      </c>
      <c r="I49" s="168">
        <v>3</v>
      </c>
      <c r="J49" s="168">
        <v>3</v>
      </c>
      <c r="K49" s="168">
        <v>3</v>
      </c>
      <c r="L49" s="168">
        <v>3</v>
      </c>
      <c r="M49" s="168">
        <v>3</v>
      </c>
      <c r="N49" s="168">
        <v>3</v>
      </c>
    </row>
    <row r="50" spans="1:14">
      <c r="A50" t="s">
        <v>22</v>
      </c>
      <c r="B50" s="155"/>
      <c r="C50" s="168">
        <f>SUM(C32:C49)</f>
        <v>1190802</v>
      </c>
      <c r="D50" s="168">
        <f t="shared" ref="D50:N50" si="3">SUM(D32:D49)</f>
        <v>1191733</v>
      </c>
      <c r="E50" s="168">
        <f t="shared" si="3"/>
        <v>1192814</v>
      </c>
      <c r="F50" s="168">
        <f t="shared" si="3"/>
        <v>1194144</v>
      </c>
      <c r="G50" s="168">
        <f t="shared" si="3"/>
        <v>1195095</v>
      </c>
      <c r="H50" s="168">
        <f t="shared" si="3"/>
        <v>1196053</v>
      </c>
      <c r="I50" s="168">
        <f t="shared" si="3"/>
        <v>1196545</v>
      </c>
      <c r="J50" s="168">
        <f t="shared" si="3"/>
        <v>1198220</v>
      </c>
      <c r="K50" s="168">
        <f t="shared" si="3"/>
        <v>1199517</v>
      </c>
      <c r="L50" s="168">
        <f t="shared" si="3"/>
        <v>1201351</v>
      </c>
      <c r="M50" s="168">
        <f t="shared" si="3"/>
        <v>1202493</v>
      </c>
      <c r="N50" s="168">
        <f t="shared" si="3"/>
        <v>1203542</v>
      </c>
    </row>
    <row r="51" spans="1:14">
      <c r="A51" s="67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</row>
  </sheetData>
  <phoneticPr fontId="8" type="noConversion"/>
  <printOptions horizontalCentered="1"/>
  <pageMargins left="0.75" right="0.75" top="1" bottom="1" header="0.5" footer="0.5"/>
  <pageSetup scale="50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G4" sqref="G4"/>
    </sheetView>
  </sheetViews>
  <sheetFormatPr defaultColWidth="9.33203125" defaultRowHeight="13.2"/>
  <cols>
    <col min="1" max="2" width="9.33203125" style="237" bestFit="1" customWidth="1"/>
    <col min="3" max="3" width="12.33203125" style="237" customWidth="1"/>
    <col min="4" max="5" width="11.6640625" style="237" customWidth="1"/>
    <col min="6" max="6" width="12.33203125" style="237" customWidth="1"/>
    <col min="7" max="10" width="12.6640625" style="237" customWidth="1"/>
    <col min="11" max="11" width="14.33203125" style="237" bestFit="1" customWidth="1"/>
    <col min="12" max="12" width="13" style="237" bestFit="1" customWidth="1"/>
    <col min="13" max="13" width="10.6640625" style="237" customWidth="1"/>
    <col min="14" max="14" width="12.6640625" style="237" bestFit="1" customWidth="1"/>
    <col min="15" max="15" width="11.6640625" style="237" customWidth="1"/>
    <col min="16" max="16384" width="9.33203125" style="237"/>
  </cols>
  <sheetData>
    <row r="1" spans="1:30" ht="17.399999999999999">
      <c r="A1" s="235" t="s">
        <v>163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30">
      <c r="A2" s="238"/>
      <c r="B2" s="239"/>
      <c r="C2" s="240"/>
      <c r="D2" s="240"/>
      <c r="E2" s="240"/>
      <c r="F2" s="241" t="s">
        <v>136</v>
      </c>
      <c r="G2" s="240"/>
      <c r="H2" s="240"/>
      <c r="I2" s="240"/>
      <c r="J2" s="240"/>
      <c r="K2" s="242"/>
      <c r="L2" s="239"/>
      <c r="M2" s="243"/>
      <c r="N2" s="243"/>
      <c r="O2" s="236"/>
    </row>
    <row r="3" spans="1:30" ht="39.6">
      <c r="A3" s="244" t="s">
        <v>137</v>
      </c>
      <c r="B3" s="245" t="s">
        <v>53</v>
      </c>
      <c r="C3" s="246" t="s">
        <v>138</v>
      </c>
      <c r="D3" s="246" t="s">
        <v>139</v>
      </c>
      <c r="E3" s="400" t="s">
        <v>140</v>
      </c>
      <c r="F3" s="401" t="s">
        <v>141</v>
      </c>
      <c r="G3" s="401" t="s">
        <v>142</v>
      </c>
      <c r="H3" s="401" t="s">
        <v>143</v>
      </c>
      <c r="I3" s="401" t="s">
        <v>144</v>
      </c>
      <c r="J3" s="401" t="s">
        <v>145</v>
      </c>
      <c r="K3" s="402" t="s">
        <v>146</v>
      </c>
      <c r="L3" s="403" t="s">
        <v>147</v>
      </c>
      <c r="M3" s="404" t="s">
        <v>148</v>
      </c>
      <c r="N3" s="405" t="s">
        <v>149</v>
      </c>
      <c r="O3" s="405" t="s">
        <v>150</v>
      </c>
      <c r="P3" s="406"/>
      <c r="Q3" s="407" t="s">
        <v>151</v>
      </c>
      <c r="R3" s="407" t="s">
        <v>152</v>
      </c>
      <c r="S3" s="406"/>
      <c r="T3" s="406"/>
    </row>
    <row r="4" spans="1:30">
      <c r="A4" s="248">
        <v>2021</v>
      </c>
      <c r="B4" s="249">
        <v>1</v>
      </c>
      <c r="C4" s="250">
        <v>711.85138888888901</v>
      </c>
      <c r="D4" s="251">
        <v>0</v>
      </c>
      <c r="E4" s="250">
        <v>656.29166666666697</v>
      </c>
      <c r="F4" s="250">
        <v>0</v>
      </c>
      <c r="G4" s="250">
        <v>124.597222222222</v>
      </c>
      <c r="H4" s="250">
        <v>60.4166666666667</v>
      </c>
      <c r="I4" s="250">
        <v>0</v>
      </c>
      <c r="J4" s="251">
        <v>0</v>
      </c>
      <c r="K4" s="408">
        <f>2184180716/1000</f>
        <v>2184180.716</v>
      </c>
      <c r="L4" s="252">
        <f t="shared" ref="L4:L15" si="0">K4/M4*1000</f>
        <v>1834.360778161491</v>
      </c>
      <c r="M4" s="409">
        <f>SUM('SAP BW Actual Usage'!C32:C46)</f>
        <v>1190704</v>
      </c>
      <c r="N4" s="410">
        <f t="shared" ref="N4:N15" si="1">(L4+(C4-E4)*C22+(G4-H4)*D22+(D4-F4)*E22+(I4-J4)*F22)*M4/1000</f>
        <v>2244551.8223322015</v>
      </c>
      <c r="O4" s="411">
        <f t="shared" ref="O4:O15" si="2">N4-K4</f>
        <v>60371.106332201511</v>
      </c>
      <c r="P4" s="412"/>
      <c r="Q4" s="413">
        <v>401.91666666666703</v>
      </c>
      <c r="R4" s="413">
        <v>346.29166666666703</v>
      </c>
      <c r="S4" s="406"/>
      <c r="T4" s="406"/>
    </row>
    <row r="5" spans="1:30">
      <c r="A5" s="253">
        <f>A4</f>
        <v>2021</v>
      </c>
      <c r="B5" s="249">
        <v>2</v>
      </c>
      <c r="C5" s="254">
        <v>615.21249999999998</v>
      </c>
      <c r="D5" s="255">
        <v>0</v>
      </c>
      <c r="E5" s="414">
        <v>670.70833333333303</v>
      </c>
      <c r="F5" s="254">
        <v>0</v>
      </c>
      <c r="G5" s="254">
        <v>87.790277777777803</v>
      </c>
      <c r="H5" s="254">
        <v>122.625</v>
      </c>
      <c r="I5" s="254">
        <v>0</v>
      </c>
      <c r="J5" s="415">
        <v>0</v>
      </c>
      <c r="K5" s="416">
        <f>2085651729/1000</f>
        <v>2085651.7290000001</v>
      </c>
      <c r="L5" s="256">
        <f t="shared" si="0"/>
        <v>1750.2437650790721</v>
      </c>
      <c r="M5" s="409">
        <f>SUM('SAP BW Actual Usage'!D32:D46)</f>
        <v>1191635</v>
      </c>
      <c r="N5" s="417">
        <f t="shared" si="1"/>
        <v>2037054.7779827185</v>
      </c>
      <c r="O5" s="418">
        <f t="shared" si="2"/>
        <v>-48596.951017281506</v>
      </c>
      <c r="P5" s="412"/>
      <c r="Q5" s="413">
        <v>335.23055555555601</v>
      </c>
      <c r="R5" s="413">
        <v>390.70833333333297</v>
      </c>
      <c r="S5" s="406"/>
      <c r="T5" s="406"/>
    </row>
    <row r="6" spans="1:30">
      <c r="A6" s="253">
        <f t="shared" ref="A6:A15" si="3">A5</f>
        <v>2021</v>
      </c>
      <c r="B6" s="249">
        <v>3</v>
      </c>
      <c r="C6" s="254">
        <v>589.43819444444398</v>
      </c>
      <c r="D6" s="255">
        <v>0.18611111111111101</v>
      </c>
      <c r="E6" s="414">
        <v>614.33333333333303</v>
      </c>
      <c r="F6" s="414">
        <v>0</v>
      </c>
      <c r="G6" s="254">
        <v>42.965972222222199</v>
      </c>
      <c r="H6" s="254">
        <v>22.4583333333333</v>
      </c>
      <c r="I6" s="254">
        <v>0.64027777777777795</v>
      </c>
      <c r="J6" s="415">
        <v>0</v>
      </c>
      <c r="K6" s="419">
        <f>2075576813/1000</f>
        <v>2075576.8130000001</v>
      </c>
      <c r="L6" s="256">
        <f t="shared" si="0"/>
        <v>1740.2089623942647</v>
      </c>
      <c r="M6" s="409">
        <f>SUM('SAP BW Actual Usage'!E32:E46)</f>
        <v>1192717</v>
      </c>
      <c r="N6" s="417">
        <f t="shared" si="1"/>
        <v>2067929.7361987014</v>
      </c>
      <c r="O6" s="418">
        <f t="shared" si="2"/>
        <v>-7647.0768012986518</v>
      </c>
      <c r="P6" s="412"/>
      <c r="Q6" s="413">
        <v>281.96875</v>
      </c>
      <c r="R6" s="413">
        <v>304.33333333333297</v>
      </c>
      <c r="S6" s="406"/>
      <c r="T6" s="406"/>
    </row>
    <row r="7" spans="1:30">
      <c r="A7" s="257">
        <f t="shared" si="3"/>
        <v>2021</v>
      </c>
      <c r="B7" s="249">
        <v>4</v>
      </c>
      <c r="C7" s="254">
        <v>449.71805555555602</v>
      </c>
      <c r="D7" s="255">
        <v>0.66666666666666696</v>
      </c>
      <c r="E7" s="414">
        <v>362.04166666666703</v>
      </c>
      <c r="F7" s="414">
        <v>0</v>
      </c>
      <c r="G7" s="254">
        <v>8.3680555555555607</v>
      </c>
      <c r="H7" s="414">
        <v>2.3333333333333299</v>
      </c>
      <c r="I7" s="254">
        <v>3.6555555555555599</v>
      </c>
      <c r="J7" s="415">
        <v>15.4583333333333</v>
      </c>
      <c r="K7" s="419">
        <f>1696496534/1000</f>
        <v>1696496.534</v>
      </c>
      <c r="L7" s="256">
        <f t="shared" si="0"/>
        <v>1420.7954410504778</v>
      </c>
      <c r="M7" s="409">
        <f>SUM('SAP BW Actual Usage'!F32:F46)</f>
        <v>1194047</v>
      </c>
      <c r="N7" s="417">
        <f t="shared" si="1"/>
        <v>1745394.698609869</v>
      </c>
      <c r="O7" s="418">
        <f t="shared" si="2"/>
        <v>48898.164609869011</v>
      </c>
      <c r="P7" s="412"/>
      <c r="Q7" s="413">
        <v>164.98750000000001</v>
      </c>
      <c r="R7" s="413">
        <v>120.333333333333</v>
      </c>
      <c r="S7" s="406"/>
      <c r="T7" s="406"/>
    </row>
    <row r="8" spans="1:30">
      <c r="A8" s="257">
        <f t="shared" si="3"/>
        <v>2021</v>
      </c>
      <c r="B8" s="249">
        <v>5</v>
      </c>
      <c r="C8" s="254">
        <v>283.27361111111099</v>
      </c>
      <c r="D8" s="255">
        <v>7.8541666666666696</v>
      </c>
      <c r="E8" s="414">
        <v>284.58333333333297</v>
      </c>
      <c r="F8" s="254">
        <v>1.7916666666666701</v>
      </c>
      <c r="G8" s="254">
        <v>0.39305555555555499</v>
      </c>
      <c r="H8" s="414">
        <v>0</v>
      </c>
      <c r="I8" s="254">
        <v>30.065277777777801</v>
      </c>
      <c r="J8" s="255">
        <v>17.625</v>
      </c>
      <c r="K8" s="416">
        <f>1629064712/1000</f>
        <v>1629064.7120000001</v>
      </c>
      <c r="L8" s="256">
        <f t="shared" si="0"/>
        <v>1363.2363501863601</v>
      </c>
      <c r="M8" s="409">
        <f>SUM('SAP BW Actual Usage'!G32:G46)</f>
        <v>1194998</v>
      </c>
      <c r="N8" s="417">
        <f t="shared" si="1"/>
        <v>1633464.536889625</v>
      </c>
      <c r="O8" s="418">
        <f t="shared" si="2"/>
        <v>4399.824889624957</v>
      </c>
      <c r="P8" s="412"/>
      <c r="Q8" s="413">
        <v>52.147222222222197</v>
      </c>
      <c r="R8" s="413">
        <v>39.7083333333333</v>
      </c>
      <c r="S8" s="406"/>
      <c r="T8" s="406"/>
    </row>
    <row r="9" spans="1:30">
      <c r="A9" s="257">
        <f t="shared" si="3"/>
        <v>2021</v>
      </c>
      <c r="B9" s="249">
        <v>6</v>
      </c>
      <c r="C9" s="254">
        <v>158.07499999999999</v>
      </c>
      <c r="D9" s="255">
        <v>26.112500000000001</v>
      </c>
      <c r="E9" s="414">
        <v>99.9583333333334</v>
      </c>
      <c r="F9" s="254">
        <v>127.125</v>
      </c>
      <c r="G9" s="254">
        <v>0</v>
      </c>
      <c r="H9" s="414">
        <v>0</v>
      </c>
      <c r="I9" s="254">
        <v>71.6319444444444</v>
      </c>
      <c r="J9" s="255">
        <v>213.25</v>
      </c>
      <c r="K9" s="416">
        <f>1687764565/1000</f>
        <v>1687764.5649999999</v>
      </c>
      <c r="L9" s="256">
        <f t="shared" si="0"/>
        <v>1411.2263034760474</v>
      </c>
      <c r="M9" s="420">
        <f>SUM('SAP BW Actual Usage'!H32:H46)</f>
        <v>1195956</v>
      </c>
      <c r="N9" s="417">
        <f t="shared" si="1"/>
        <v>1630587.6354343588</v>
      </c>
      <c r="O9" s="418">
        <f t="shared" si="2"/>
        <v>-57176.929565641098</v>
      </c>
      <c r="P9" s="412"/>
      <c r="Q9" s="413">
        <v>6.8902777777777802</v>
      </c>
      <c r="R9" s="413">
        <v>7.0833333333333401</v>
      </c>
      <c r="S9" s="406"/>
      <c r="T9" s="406"/>
    </row>
    <row r="10" spans="1:30">
      <c r="A10" s="257">
        <f t="shared" si="3"/>
        <v>2021</v>
      </c>
      <c r="B10" s="249">
        <v>7</v>
      </c>
      <c r="C10" s="254">
        <v>54.019444444444503</v>
      </c>
      <c r="D10" s="258">
        <v>77.030555555555594</v>
      </c>
      <c r="E10" s="254">
        <v>24</v>
      </c>
      <c r="F10" s="254">
        <v>86.6666666666666</v>
      </c>
      <c r="G10" s="254">
        <v>0</v>
      </c>
      <c r="H10" s="414">
        <v>0</v>
      </c>
      <c r="I10" s="254">
        <v>184.75555555555599</v>
      </c>
      <c r="J10" s="421">
        <v>217.666666666667</v>
      </c>
      <c r="K10" s="422">
        <f>1707101810/1000</f>
        <v>1707101.81</v>
      </c>
      <c r="L10" s="256">
        <f t="shared" si="0"/>
        <v>1426.8081939206718</v>
      </c>
      <c r="M10" s="420">
        <f>SUM('SAP BW Actual Usage'!I32:I46)</f>
        <v>1196448</v>
      </c>
      <c r="N10" s="417">
        <f t="shared" si="1"/>
        <v>1690369.1885326505</v>
      </c>
      <c r="O10" s="418">
        <f t="shared" si="2"/>
        <v>-16732.621467349585</v>
      </c>
      <c r="P10" s="253"/>
      <c r="Q10" s="255">
        <v>0.11944444444444501</v>
      </c>
      <c r="R10" s="255">
        <v>0</v>
      </c>
      <c r="S10" s="254"/>
      <c r="T10" s="254"/>
      <c r="U10" s="254"/>
      <c r="V10" s="254"/>
      <c r="W10" s="254"/>
      <c r="X10" s="254"/>
      <c r="Y10" s="255"/>
      <c r="Z10" s="259"/>
      <c r="AA10" s="254"/>
      <c r="AB10" s="260"/>
      <c r="AC10" s="261"/>
      <c r="AD10" s="262"/>
    </row>
    <row r="11" spans="1:30">
      <c r="A11" s="257">
        <f t="shared" si="3"/>
        <v>2021</v>
      </c>
      <c r="B11" s="249">
        <v>8</v>
      </c>
      <c r="C11" s="254">
        <v>44.426388888888901</v>
      </c>
      <c r="D11" s="258">
        <v>71.6736111111111</v>
      </c>
      <c r="E11" s="254">
        <v>47.75</v>
      </c>
      <c r="F11" s="254">
        <v>94.4583333333333</v>
      </c>
      <c r="G11" s="254">
        <v>0</v>
      </c>
      <c r="H11" s="254">
        <v>0</v>
      </c>
      <c r="I11" s="254">
        <v>185.745833333333</v>
      </c>
      <c r="J11" s="421">
        <v>206.5</v>
      </c>
      <c r="K11" s="422">
        <f>1717280250/1000</f>
        <v>1717280.25</v>
      </c>
      <c r="L11" s="256">
        <f t="shared" si="0"/>
        <v>1433.3088088618615</v>
      </c>
      <c r="M11" s="420">
        <f>SUM('SAP BW Actual Usage'!J32:J46)</f>
        <v>1198123</v>
      </c>
      <c r="N11" s="417">
        <f t="shared" si="1"/>
        <v>1705741.3858770449</v>
      </c>
      <c r="O11" s="418">
        <f t="shared" si="2"/>
        <v>-11538.864122955129</v>
      </c>
      <c r="P11" s="253"/>
      <c r="Q11" s="255">
        <v>0</v>
      </c>
      <c r="R11" s="255">
        <v>0</v>
      </c>
      <c r="S11" s="254"/>
      <c r="T11" s="414"/>
      <c r="U11" s="263"/>
      <c r="V11" s="254"/>
      <c r="W11" s="254"/>
      <c r="X11" s="254"/>
      <c r="Y11" s="264"/>
      <c r="Z11" s="265"/>
      <c r="AA11" s="254"/>
      <c r="AB11" s="260"/>
      <c r="AC11" s="261"/>
      <c r="AD11" s="262"/>
    </row>
    <row r="12" spans="1:30">
      <c r="A12" s="257">
        <f t="shared" si="3"/>
        <v>2021</v>
      </c>
      <c r="B12" s="249">
        <v>9</v>
      </c>
      <c r="C12" s="254">
        <v>134.64444444444399</v>
      </c>
      <c r="D12" s="258">
        <v>18.0208333333333</v>
      </c>
      <c r="E12" s="254">
        <v>131.666666666667</v>
      </c>
      <c r="F12" s="254">
        <v>15.7083333333333</v>
      </c>
      <c r="G12" s="254">
        <v>0</v>
      </c>
      <c r="H12" s="254">
        <v>0</v>
      </c>
      <c r="I12" s="254">
        <v>73.551388888888894</v>
      </c>
      <c r="J12" s="421">
        <v>68.7916666666667</v>
      </c>
      <c r="K12" s="422">
        <f>1554941583/1000</f>
        <v>1554941.5830000001</v>
      </c>
      <c r="L12" s="256">
        <f t="shared" si="0"/>
        <v>1296.4112512714478</v>
      </c>
      <c r="M12" s="420">
        <f>SUM('SAP BW Actual Usage'!K32:K46)</f>
        <v>1199420</v>
      </c>
      <c r="N12" s="417">
        <f t="shared" si="1"/>
        <v>1558221.2164622969</v>
      </c>
      <c r="O12" s="418">
        <f t="shared" si="2"/>
        <v>3279.6334622967988</v>
      </c>
      <c r="P12" s="253"/>
      <c r="Q12" s="255">
        <v>3.9555555555555602</v>
      </c>
      <c r="R12" s="255">
        <v>0.125</v>
      </c>
      <c r="S12" s="254"/>
      <c r="T12" s="414"/>
      <c r="U12" s="263"/>
      <c r="V12" s="254"/>
      <c r="W12" s="254"/>
      <c r="X12" s="254"/>
      <c r="Y12" s="264"/>
      <c r="Z12" s="265"/>
      <c r="AA12" s="254"/>
      <c r="AB12" s="260"/>
      <c r="AC12" s="261"/>
      <c r="AD12" s="262"/>
    </row>
    <row r="13" spans="1:30">
      <c r="A13" s="257">
        <f t="shared" si="3"/>
        <v>2021</v>
      </c>
      <c r="B13" s="249">
        <v>10</v>
      </c>
      <c r="C13" s="254">
        <v>386.39305555555597</v>
      </c>
      <c r="D13" s="258">
        <v>0</v>
      </c>
      <c r="E13" s="254">
        <v>413.25</v>
      </c>
      <c r="F13" s="254">
        <v>0</v>
      </c>
      <c r="G13" s="254">
        <v>3.0944444444444401</v>
      </c>
      <c r="H13" s="254">
        <v>1.7083333333333399</v>
      </c>
      <c r="I13" s="254">
        <v>1.94722222222222</v>
      </c>
      <c r="J13" s="421">
        <v>0</v>
      </c>
      <c r="K13" s="422">
        <f>1784187524/1000</f>
        <v>1784187.524</v>
      </c>
      <c r="L13" s="256">
        <f t="shared" si="0"/>
        <v>1485.2720650853732</v>
      </c>
      <c r="M13" s="420">
        <f>SUM('SAP BW Actual Usage'!L32:L46)</f>
        <v>1201253</v>
      </c>
      <c r="N13" s="417">
        <f t="shared" si="1"/>
        <v>1766381.8118118912</v>
      </c>
      <c r="O13" s="418">
        <f t="shared" si="2"/>
        <v>-17805.712188108824</v>
      </c>
      <c r="P13" s="253"/>
      <c r="Q13" s="255">
        <v>99.780555555555495</v>
      </c>
      <c r="R13" s="255">
        <v>113.25</v>
      </c>
      <c r="S13" s="254"/>
      <c r="T13" s="414"/>
      <c r="U13" s="263"/>
      <c r="V13" s="254"/>
      <c r="W13" s="263"/>
      <c r="X13" s="254"/>
      <c r="Y13" s="264"/>
      <c r="Z13" s="91"/>
      <c r="AA13" s="254"/>
      <c r="AB13" s="260"/>
      <c r="AC13" s="261"/>
      <c r="AD13" s="262"/>
    </row>
    <row r="14" spans="1:30">
      <c r="A14" s="257">
        <f t="shared" si="3"/>
        <v>2021</v>
      </c>
      <c r="B14" s="249">
        <v>11</v>
      </c>
      <c r="C14" s="254">
        <v>580.98055555555504</v>
      </c>
      <c r="D14" s="255">
        <v>0</v>
      </c>
      <c r="E14" s="254">
        <v>519.04166666666697</v>
      </c>
      <c r="F14" s="254">
        <v>0</v>
      </c>
      <c r="G14" s="254">
        <v>54.383333333333297</v>
      </c>
      <c r="H14" s="254">
        <v>27.5833333333333</v>
      </c>
      <c r="I14" s="254">
        <v>7.2222222222222104E-2</v>
      </c>
      <c r="J14" s="255">
        <v>0</v>
      </c>
      <c r="K14" s="416">
        <f>1955142280/1000</f>
        <v>1955142.28</v>
      </c>
      <c r="L14" s="256">
        <f t="shared" si="0"/>
        <v>1626.0399286424179</v>
      </c>
      <c r="M14" s="420">
        <f>SUM('SAP BW Actual Usage'!M32:M46)</f>
        <v>1202395</v>
      </c>
      <c r="N14" s="417">
        <f t="shared" si="1"/>
        <v>2005617.6437595792</v>
      </c>
      <c r="O14" s="418">
        <f t="shared" si="2"/>
        <v>50475.363759579137</v>
      </c>
      <c r="P14" s="253"/>
      <c r="Q14" s="255">
        <v>282.839583333333</v>
      </c>
      <c r="R14" s="255">
        <v>223.125</v>
      </c>
      <c r="S14" s="254"/>
      <c r="T14" s="414"/>
      <c r="U14" s="254"/>
      <c r="V14" s="254"/>
      <c r="W14" s="263"/>
      <c r="X14" s="254"/>
      <c r="Y14" s="255"/>
      <c r="Z14" s="91"/>
      <c r="AA14" s="254"/>
      <c r="AB14" s="260"/>
      <c r="AC14" s="261"/>
      <c r="AD14" s="262"/>
    </row>
    <row r="15" spans="1:30">
      <c r="A15" s="266">
        <f t="shared" si="3"/>
        <v>2021</v>
      </c>
      <c r="B15" s="249">
        <v>12</v>
      </c>
      <c r="C15" s="267">
        <v>734.99305555555497</v>
      </c>
      <c r="D15" s="268">
        <v>0</v>
      </c>
      <c r="E15" s="267">
        <v>844.58333333333303</v>
      </c>
      <c r="F15" s="267">
        <v>0</v>
      </c>
      <c r="G15" s="267">
        <v>137.173611111111</v>
      </c>
      <c r="H15" s="267">
        <v>236.666666666667</v>
      </c>
      <c r="I15" s="267">
        <v>0</v>
      </c>
      <c r="J15" s="268">
        <v>0</v>
      </c>
      <c r="K15" s="423">
        <f>2447582306/1000</f>
        <v>2447582.3059999999</v>
      </c>
      <c r="L15" s="269">
        <f t="shared" si="0"/>
        <v>2033.8182529777087</v>
      </c>
      <c r="M15" s="424">
        <f>SUM('SAP BW Actual Usage'!N32:N46)</f>
        <v>1203442</v>
      </c>
      <c r="N15" s="425">
        <f t="shared" si="1"/>
        <v>2351827.5987676876</v>
      </c>
      <c r="O15" s="270">
        <f t="shared" si="2"/>
        <v>-95754.707232312299</v>
      </c>
      <c r="P15" s="253"/>
      <c r="Q15" s="255">
        <v>425.16944444444403</v>
      </c>
      <c r="R15" s="255">
        <v>534.58333333333303</v>
      </c>
      <c r="S15" s="254"/>
      <c r="T15" s="414"/>
      <c r="U15" s="254"/>
      <c r="V15" s="254"/>
      <c r="W15" s="263"/>
      <c r="X15" s="254"/>
      <c r="Y15" s="255"/>
      <c r="Z15" s="91"/>
      <c r="AA15" s="254"/>
      <c r="AB15" s="271"/>
      <c r="AC15" s="261"/>
      <c r="AD15" s="262"/>
    </row>
    <row r="16" spans="1:30">
      <c r="A16" s="444" t="s">
        <v>153</v>
      </c>
      <c r="B16" s="445"/>
      <c r="C16" s="272"/>
      <c r="D16" s="273"/>
      <c r="E16" s="274"/>
      <c r="F16" s="274"/>
      <c r="G16" s="274"/>
      <c r="H16" s="274"/>
      <c r="I16" s="274"/>
      <c r="J16" s="275"/>
      <c r="K16" s="276">
        <f>SUM(K4:K15)</f>
        <v>22524970.822000004</v>
      </c>
      <c r="L16" s="277"/>
      <c r="M16" s="278"/>
      <c r="N16" s="276">
        <f>SUM(N4:N15)</f>
        <v>22437142.052658625</v>
      </c>
      <c r="O16" s="426"/>
      <c r="P16" s="406"/>
      <c r="Q16" s="406"/>
      <c r="R16" s="406"/>
      <c r="S16" s="406"/>
      <c r="T16" s="406"/>
    </row>
    <row r="17" spans="1:24">
      <c r="A17" s="279" t="s">
        <v>154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1"/>
      <c r="M17" s="281"/>
      <c r="N17" s="282">
        <f>N16-$K16</f>
        <v>-87828.769341379404</v>
      </c>
      <c r="O17" s="281"/>
      <c r="P17" s="406"/>
      <c r="Q17" s="406"/>
      <c r="R17" s="406"/>
      <c r="S17" s="406"/>
      <c r="T17" s="406"/>
    </row>
    <row r="18" spans="1:24">
      <c r="A18" s="283" t="s">
        <v>162</v>
      </c>
      <c r="B18" s="236"/>
      <c r="C18" s="236"/>
      <c r="D18" s="236"/>
      <c r="E18" s="280"/>
      <c r="F18" s="280"/>
      <c r="G18" s="427"/>
      <c r="H18" s="280"/>
      <c r="I18" s="280"/>
      <c r="J18" s="280"/>
      <c r="K18" s="280"/>
      <c r="L18" s="428"/>
      <c r="M18" s="280"/>
      <c r="N18" s="280"/>
      <c r="O18" s="280"/>
      <c r="P18" s="406"/>
      <c r="Q18" s="406"/>
      <c r="R18" s="406"/>
      <c r="S18" s="406"/>
      <c r="T18" s="406"/>
    </row>
    <row r="19" spans="1:24">
      <c r="A19" s="284"/>
      <c r="B19" s="236"/>
      <c r="C19" s="236"/>
      <c r="D19" s="236"/>
      <c r="E19" s="280"/>
      <c r="F19" s="280"/>
      <c r="G19" s="427"/>
      <c r="H19" s="280"/>
      <c r="I19" s="280"/>
      <c r="J19" s="280"/>
      <c r="K19" s="280"/>
      <c r="L19" s="428"/>
      <c r="M19" s="280"/>
      <c r="N19" s="280"/>
      <c r="O19" s="280"/>
      <c r="P19" s="406"/>
      <c r="Q19" s="406"/>
      <c r="R19" s="406"/>
      <c r="S19" s="406"/>
      <c r="T19" s="406"/>
    </row>
    <row r="20" spans="1:24" ht="15.6">
      <c r="A20" s="285" t="s">
        <v>164</v>
      </c>
      <c r="B20" s="286"/>
      <c r="C20" s="286"/>
      <c r="D20" s="286"/>
      <c r="E20" s="429"/>
      <c r="F20" s="429"/>
      <c r="G20" s="429"/>
      <c r="H20" s="280"/>
      <c r="I20" s="280"/>
      <c r="J20" s="280"/>
      <c r="K20" s="280"/>
      <c r="L20" s="430"/>
      <c r="M20" s="431"/>
      <c r="N20" s="432"/>
      <c r="O20" s="280"/>
      <c r="P20" s="406"/>
      <c r="Q20" s="406"/>
      <c r="R20" s="406"/>
      <c r="S20" s="406"/>
      <c r="T20" s="406"/>
    </row>
    <row r="21" spans="1:24">
      <c r="A21" s="247" t="s">
        <v>137</v>
      </c>
      <c r="B21" s="287" t="s">
        <v>53</v>
      </c>
      <c r="C21" s="92" t="s">
        <v>54</v>
      </c>
      <c r="D21" s="288" t="s">
        <v>155</v>
      </c>
      <c r="E21" s="433" t="s">
        <v>156</v>
      </c>
      <c r="F21" s="434" t="s">
        <v>57</v>
      </c>
      <c r="G21" s="429"/>
      <c r="H21" s="280"/>
      <c r="I21" s="280"/>
      <c r="J21" s="280"/>
      <c r="K21" s="280"/>
      <c r="L21" s="253"/>
      <c r="M21" s="281"/>
      <c r="N21" s="280"/>
      <c r="O21" s="280"/>
      <c r="P21" s="406"/>
      <c r="Q21" s="406"/>
      <c r="R21" s="406"/>
      <c r="S21" s="406"/>
      <c r="T21" s="406"/>
    </row>
    <row r="22" spans="1:24">
      <c r="A22" s="248">
        <f>A4</f>
        <v>2021</v>
      </c>
      <c r="B22" s="289">
        <f>B4</f>
        <v>1</v>
      </c>
      <c r="C22" s="290">
        <v>0.57698499999999997</v>
      </c>
      <c r="D22" s="290">
        <v>0.29050700000000002</v>
      </c>
      <c r="E22" s="435">
        <v>0</v>
      </c>
      <c r="F22" s="435">
        <v>0</v>
      </c>
      <c r="G22" s="280"/>
      <c r="H22" s="280"/>
      <c r="I22" s="280"/>
      <c r="J22" s="280"/>
      <c r="K22" s="280"/>
      <c r="L22" s="280"/>
      <c r="M22" s="280"/>
      <c r="N22" s="280"/>
      <c r="O22" s="280"/>
      <c r="P22" s="406"/>
      <c r="Q22" s="406"/>
      <c r="R22" s="406"/>
      <c r="S22" s="406"/>
      <c r="T22" s="406"/>
    </row>
    <row r="23" spans="1:24">
      <c r="A23" s="257">
        <f t="shared" ref="A23:B33" si="4">A5</f>
        <v>2021</v>
      </c>
      <c r="B23" s="291">
        <f t="shared" si="4"/>
        <v>2</v>
      </c>
      <c r="C23" s="292">
        <v>0.54085000000000005</v>
      </c>
      <c r="D23" s="292">
        <v>0.309083</v>
      </c>
      <c r="E23" s="436">
        <v>0</v>
      </c>
      <c r="F23" s="436">
        <v>0</v>
      </c>
      <c r="G23" s="280"/>
      <c r="H23" s="280"/>
      <c r="I23" s="280"/>
      <c r="J23" s="280"/>
      <c r="K23" s="280"/>
      <c r="L23" s="280"/>
      <c r="M23" s="280"/>
      <c r="N23" s="280"/>
      <c r="O23" s="280"/>
      <c r="P23" s="406"/>
      <c r="Q23" s="406"/>
      <c r="R23" s="406"/>
      <c r="S23" s="406"/>
      <c r="T23" s="406"/>
    </row>
    <row r="24" spans="1:24">
      <c r="A24" s="257">
        <f t="shared" si="4"/>
        <v>2021</v>
      </c>
      <c r="B24" s="291">
        <f t="shared" si="4"/>
        <v>3</v>
      </c>
      <c r="C24" s="292">
        <v>0.49067100000000002</v>
      </c>
      <c r="D24" s="292">
        <v>0.28300900000000001</v>
      </c>
      <c r="E24" s="436">
        <v>0</v>
      </c>
      <c r="F24" s="436">
        <v>0</v>
      </c>
      <c r="G24" s="280"/>
      <c r="H24" s="280"/>
      <c r="I24" s="280"/>
      <c r="J24" s="280"/>
      <c r="K24" s="280"/>
      <c r="L24" s="280"/>
      <c r="M24" s="280"/>
      <c r="N24" s="280"/>
      <c r="O24" s="280"/>
      <c r="P24" s="406"/>
      <c r="Q24" s="406"/>
      <c r="R24" s="406"/>
      <c r="S24" s="406"/>
      <c r="T24" s="406"/>
    </row>
    <row r="25" spans="1:24">
      <c r="A25" s="257">
        <f t="shared" si="4"/>
        <v>2021</v>
      </c>
      <c r="B25" s="291">
        <f t="shared" si="4"/>
        <v>4</v>
      </c>
      <c r="C25" s="292">
        <v>0.46707700000000002</v>
      </c>
      <c r="D25" s="292">
        <v>0</v>
      </c>
      <c r="E25" s="436">
        <v>0</v>
      </c>
      <c r="F25" s="436">
        <v>0</v>
      </c>
      <c r="G25" s="280"/>
      <c r="H25" s="280"/>
      <c r="I25" s="280"/>
      <c r="J25" s="280"/>
      <c r="K25" s="280"/>
      <c r="L25" s="280"/>
      <c r="M25" s="280"/>
      <c r="N25" s="280"/>
      <c r="O25" s="280"/>
      <c r="P25" s="406"/>
      <c r="Q25" s="406"/>
      <c r="R25" s="406"/>
      <c r="S25" s="406"/>
      <c r="T25" s="406"/>
    </row>
    <row r="26" spans="1:24">
      <c r="A26" s="257">
        <f t="shared" si="4"/>
        <v>2021</v>
      </c>
      <c r="B26" s="291">
        <f t="shared" si="4"/>
        <v>5</v>
      </c>
      <c r="C26" s="293">
        <v>0.276893</v>
      </c>
      <c r="D26" s="292">
        <v>0</v>
      </c>
      <c r="E26" s="436">
        <v>0</v>
      </c>
      <c r="F26" s="436">
        <v>0.32511499999999999</v>
      </c>
      <c r="G26" s="280"/>
      <c r="H26" s="280"/>
      <c r="I26" s="280"/>
      <c r="J26" s="280"/>
      <c r="K26" s="280"/>
      <c r="L26" s="280"/>
      <c r="M26" s="280"/>
      <c r="N26" s="280"/>
      <c r="O26" s="280"/>
      <c r="P26" s="406"/>
      <c r="Q26" s="406"/>
      <c r="R26" s="406"/>
      <c r="S26" s="406"/>
      <c r="T26" s="406"/>
    </row>
    <row r="27" spans="1:24">
      <c r="A27" s="257">
        <f t="shared" si="4"/>
        <v>2021</v>
      </c>
      <c r="B27" s="291">
        <f t="shared" si="4"/>
        <v>6</v>
      </c>
      <c r="C27" s="292">
        <v>0</v>
      </c>
      <c r="D27" s="292">
        <v>0</v>
      </c>
      <c r="E27" s="436">
        <v>0</v>
      </c>
      <c r="F27" s="436">
        <v>0.337588</v>
      </c>
      <c r="G27" s="280"/>
      <c r="H27" s="280"/>
      <c r="I27" s="280"/>
      <c r="J27" s="280"/>
      <c r="K27" s="280"/>
      <c r="L27" s="280"/>
      <c r="M27" s="280"/>
      <c r="N27" s="280"/>
      <c r="O27" s="280"/>
      <c r="P27" s="406"/>
      <c r="Q27" s="406"/>
      <c r="R27" s="406"/>
      <c r="S27" s="406"/>
      <c r="T27" s="406"/>
      <c r="W27" s="294"/>
      <c r="X27" s="294"/>
    </row>
    <row r="28" spans="1:24">
      <c r="A28" s="257">
        <f t="shared" si="4"/>
        <v>2021</v>
      </c>
      <c r="B28" s="291">
        <f t="shared" si="4"/>
        <v>7</v>
      </c>
      <c r="C28" s="292">
        <v>0</v>
      </c>
      <c r="D28" s="292">
        <v>0</v>
      </c>
      <c r="E28" s="436">
        <v>0</v>
      </c>
      <c r="F28" s="436">
        <v>0.42493999999999998</v>
      </c>
      <c r="G28" s="280"/>
      <c r="H28" s="280"/>
      <c r="I28" s="280"/>
      <c r="J28" s="280"/>
      <c r="K28" s="280"/>
      <c r="L28" s="280"/>
      <c r="M28" s="280"/>
      <c r="N28" s="280"/>
      <c r="O28" s="280"/>
      <c r="P28" s="406"/>
      <c r="Q28" s="406"/>
      <c r="R28" s="406"/>
      <c r="S28" s="406"/>
      <c r="T28" s="406"/>
    </row>
    <row r="29" spans="1:24">
      <c r="A29" s="257">
        <f t="shared" si="4"/>
        <v>2021</v>
      </c>
      <c r="B29" s="291">
        <f t="shared" si="4"/>
        <v>8</v>
      </c>
      <c r="C29" s="292">
        <v>0</v>
      </c>
      <c r="D29" s="292">
        <v>0</v>
      </c>
      <c r="E29" s="436">
        <v>0</v>
      </c>
      <c r="F29" s="436">
        <v>0.46404099999999998</v>
      </c>
      <c r="G29" s="280"/>
      <c r="H29" s="280"/>
      <c r="I29" s="280"/>
      <c r="J29" s="280"/>
      <c r="K29" s="280"/>
      <c r="L29" s="280"/>
      <c r="M29" s="280"/>
      <c r="N29" s="280"/>
      <c r="O29" s="280"/>
      <c r="P29" s="406"/>
      <c r="Q29" s="406"/>
      <c r="R29" s="406"/>
      <c r="S29" s="406"/>
      <c r="T29" s="406"/>
    </row>
    <row r="30" spans="1:24">
      <c r="A30" s="257">
        <f t="shared" si="4"/>
        <v>2021</v>
      </c>
      <c r="B30" s="291">
        <f t="shared" si="4"/>
        <v>9</v>
      </c>
      <c r="C30" s="292">
        <v>0.31176700000000002</v>
      </c>
      <c r="D30" s="292">
        <v>0</v>
      </c>
      <c r="E30" s="436">
        <v>0</v>
      </c>
      <c r="F30" s="436">
        <v>0.37942900000000002</v>
      </c>
      <c r="G30" s="280"/>
      <c r="H30" s="280"/>
      <c r="I30" s="280"/>
      <c r="J30" s="280"/>
      <c r="K30" s="280"/>
      <c r="L30" s="280"/>
      <c r="M30" s="280"/>
      <c r="N30" s="280"/>
      <c r="O30" s="280"/>
      <c r="P30" s="406"/>
      <c r="Q30" s="406"/>
      <c r="R30" s="406"/>
      <c r="S30" s="406"/>
      <c r="T30" s="406"/>
    </row>
    <row r="31" spans="1:24">
      <c r="A31" s="257">
        <f t="shared" si="4"/>
        <v>2021</v>
      </c>
      <c r="B31" s="291">
        <f t="shared" si="4"/>
        <v>10</v>
      </c>
      <c r="C31" s="292">
        <v>0.55191000000000001</v>
      </c>
      <c r="D31" s="292">
        <v>0</v>
      </c>
      <c r="E31" s="436">
        <v>0</v>
      </c>
      <c r="F31" s="436">
        <v>0</v>
      </c>
      <c r="G31" s="280"/>
      <c r="H31" s="280"/>
      <c r="I31" s="280"/>
      <c r="J31" s="280"/>
      <c r="K31" s="280"/>
      <c r="L31" s="280"/>
      <c r="M31" s="280"/>
      <c r="N31" s="280"/>
      <c r="O31" s="280"/>
      <c r="P31" s="406"/>
      <c r="Q31" s="406"/>
      <c r="R31" s="406"/>
      <c r="S31" s="406"/>
      <c r="T31" s="406"/>
    </row>
    <row r="32" spans="1:24">
      <c r="A32" s="257">
        <f t="shared" si="4"/>
        <v>2021</v>
      </c>
      <c r="B32" s="291">
        <f t="shared" si="4"/>
        <v>11</v>
      </c>
      <c r="C32" s="293">
        <v>0.67774900000000005</v>
      </c>
      <c r="D32" s="292">
        <v>0</v>
      </c>
      <c r="E32" s="436">
        <v>0</v>
      </c>
      <c r="F32" s="436">
        <v>0</v>
      </c>
      <c r="G32" s="280"/>
      <c r="H32" s="280"/>
      <c r="I32" s="280"/>
      <c r="J32" s="280"/>
      <c r="K32" s="280"/>
      <c r="L32" s="280"/>
      <c r="M32" s="280"/>
      <c r="N32" s="280"/>
      <c r="O32" s="280"/>
      <c r="P32" s="406"/>
      <c r="Q32" s="406"/>
      <c r="R32" s="406"/>
      <c r="S32" s="406"/>
      <c r="T32" s="406"/>
    </row>
    <row r="33" spans="1:20">
      <c r="A33" s="266">
        <f t="shared" si="4"/>
        <v>2021</v>
      </c>
      <c r="B33" s="295">
        <f t="shared" si="4"/>
        <v>12</v>
      </c>
      <c r="C33" s="296">
        <v>0.72604400000000002</v>
      </c>
      <c r="D33" s="296">
        <v>0</v>
      </c>
      <c r="E33" s="437">
        <v>0</v>
      </c>
      <c r="F33" s="437">
        <v>0</v>
      </c>
      <c r="G33" s="280"/>
      <c r="H33" s="280"/>
      <c r="I33" s="280"/>
      <c r="J33" s="280"/>
      <c r="K33" s="280"/>
      <c r="L33" s="280"/>
      <c r="M33" s="280"/>
      <c r="N33" s="280"/>
      <c r="O33" s="280"/>
      <c r="P33" s="406"/>
      <c r="Q33" s="406"/>
      <c r="R33" s="406"/>
      <c r="S33" s="406"/>
      <c r="T33" s="406"/>
    </row>
    <row r="34" spans="1:20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</row>
    <row r="35" spans="1:20" ht="15.6">
      <c r="A35" s="297" t="s">
        <v>157</v>
      </c>
      <c r="B35" s="298" t="s">
        <v>158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</row>
    <row r="36" spans="1:20">
      <c r="A36" s="236"/>
      <c r="B36" s="298" t="s">
        <v>159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</row>
    <row r="37" spans="1:20">
      <c r="A37" s="236"/>
      <c r="B37" s="298" t="s">
        <v>160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</row>
    <row r="38" spans="1:20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</row>
    <row r="39" spans="1:20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</row>
    <row r="40" spans="1:20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</row>
    <row r="41" spans="1:20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</row>
  </sheetData>
  <mergeCells count="1">
    <mergeCell ref="A16:B16"/>
  </mergeCells>
  <pageMargins left="0.75" right="0.75" top="1" bottom="1" header="0.5" footer="0.5"/>
  <pageSetup scale="80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5"/>
  <sheetViews>
    <sheetView workbookViewId="0"/>
  </sheetViews>
  <sheetFormatPr defaultColWidth="9.33203125" defaultRowHeight="12.6"/>
  <cols>
    <col min="1" max="1" width="9.33203125" style="116"/>
    <col min="2" max="15" width="7.5546875" style="116" customWidth="1"/>
    <col min="16" max="16" width="9.33203125" style="116"/>
    <col min="17" max="17" width="14.33203125" style="116" customWidth="1"/>
    <col min="18" max="18" width="16.6640625" style="117" customWidth="1"/>
    <col min="19" max="16384" width="9.33203125" style="116"/>
  </cols>
  <sheetData>
    <row r="4" spans="1:20">
      <c r="A4" s="449" t="s">
        <v>161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118" t="s">
        <v>60</v>
      </c>
    </row>
    <row r="6" spans="1:20" ht="20.25" customHeight="1">
      <c r="A6" s="119"/>
      <c r="B6" s="446"/>
      <c r="C6" s="446"/>
      <c r="D6" s="446"/>
      <c r="E6" s="446"/>
      <c r="F6" s="446"/>
      <c r="G6" s="446"/>
      <c r="H6" s="446"/>
      <c r="I6" s="186"/>
      <c r="J6" s="186"/>
      <c r="K6" s="186"/>
      <c r="L6" s="196"/>
      <c r="M6" s="197"/>
      <c r="N6" s="204"/>
      <c r="O6" s="234"/>
      <c r="P6" s="120"/>
      <c r="Q6" s="121"/>
    </row>
    <row r="7" spans="1:20" ht="36" customHeight="1">
      <c r="A7" s="122"/>
      <c r="B7" s="123">
        <v>2008</v>
      </c>
      <c r="C7" s="123">
        <f t="shared" ref="C7" si="0">B7+1</f>
        <v>2009</v>
      </c>
      <c r="D7" s="123">
        <f t="shared" ref="D7" si="1">C7+1</f>
        <v>2010</v>
      </c>
      <c r="E7" s="123">
        <f t="shared" ref="E7" si="2">D7+1</f>
        <v>2011</v>
      </c>
      <c r="F7" s="123">
        <f t="shared" ref="F7" si="3">E7+1</f>
        <v>2012</v>
      </c>
      <c r="G7" s="123">
        <f t="shared" ref="G7" si="4">F7+1</f>
        <v>2013</v>
      </c>
      <c r="H7" s="123">
        <f t="shared" ref="H7" si="5">G7+1</f>
        <v>2014</v>
      </c>
      <c r="I7" s="123">
        <f t="shared" ref="I7:J7" si="6">H7+1</f>
        <v>2015</v>
      </c>
      <c r="J7" s="123">
        <f t="shared" si="6"/>
        <v>2016</v>
      </c>
      <c r="K7" s="123">
        <f>J7+1</f>
        <v>2017</v>
      </c>
      <c r="L7" s="123">
        <f>K7+1</f>
        <v>2018</v>
      </c>
      <c r="M7" s="123">
        <v>2019</v>
      </c>
      <c r="N7" s="123">
        <v>2020</v>
      </c>
      <c r="O7" s="123">
        <v>2021</v>
      </c>
      <c r="P7" s="124" t="s">
        <v>85</v>
      </c>
      <c r="Q7" s="157" t="s">
        <v>166</v>
      </c>
    </row>
    <row r="8" spans="1:20" ht="13.2">
      <c r="A8" s="122" t="s">
        <v>61</v>
      </c>
      <c r="B8" s="125">
        <v>819.58333333333326</v>
      </c>
      <c r="C8" s="125">
        <v>812.5</v>
      </c>
      <c r="D8" s="125">
        <v>561.95833333333326</v>
      </c>
      <c r="E8" s="125">
        <v>716.33333333333303</v>
      </c>
      <c r="F8" s="156">
        <v>778</v>
      </c>
      <c r="G8" s="156">
        <v>828</v>
      </c>
      <c r="H8" s="156">
        <v>666.12490000000003</v>
      </c>
      <c r="I8" s="156">
        <v>629.33349999999996</v>
      </c>
      <c r="J8" s="189">
        <v>664.25019999999995</v>
      </c>
      <c r="K8" s="190">
        <v>845.54160000000002</v>
      </c>
      <c r="L8" s="190">
        <v>628.70833333333303</v>
      </c>
      <c r="M8" s="190">
        <v>625.58333333333303</v>
      </c>
      <c r="N8" s="190">
        <v>623.79166666666697</v>
      </c>
      <c r="O8" s="190">
        <v>656.29166666666697</v>
      </c>
      <c r="P8" s="188">
        <v>711.85138888888901</v>
      </c>
      <c r="Q8" s="187">
        <f>O8/P8-1</f>
        <v>-7.8049608513012569E-2</v>
      </c>
      <c r="R8" s="188">
        <v>711.85138888888901</v>
      </c>
      <c r="S8" s="126"/>
      <c r="T8" s="128"/>
    </row>
    <row r="9" spans="1:20" ht="13.2">
      <c r="A9" s="122" t="s">
        <v>62</v>
      </c>
      <c r="B9" s="125">
        <v>629.83333333333337</v>
      </c>
      <c r="C9" s="125">
        <v>659.625</v>
      </c>
      <c r="D9" s="125">
        <v>515</v>
      </c>
      <c r="E9" s="125">
        <v>725.95833333333348</v>
      </c>
      <c r="F9" s="156">
        <v>629</v>
      </c>
      <c r="G9" s="156">
        <v>581</v>
      </c>
      <c r="H9" s="156">
        <v>656.58320000000003</v>
      </c>
      <c r="I9" s="156">
        <v>456.58359999999993</v>
      </c>
      <c r="J9" s="189">
        <v>516.16650000000004</v>
      </c>
      <c r="K9" s="190">
        <v>671.95839999999998</v>
      </c>
      <c r="L9" s="190">
        <v>672.58333333333303</v>
      </c>
      <c r="M9" s="190">
        <v>794.79166666666697</v>
      </c>
      <c r="N9" s="190">
        <v>621.91666666666697</v>
      </c>
      <c r="O9" s="190">
        <v>670.70833333333303</v>
      </c>
      <c r="P9" s="188">
        <v>615.21249999999998</v>
      </c>
      <c r="Q9" s="187">
        <f t="shared" ref="Q9:Q19" si="7">O9/P9-1</f>
        <v>9.0205958645724893E-2</v>
      </c>
      <c r="R9" s="188">
        <v>635.67083333333301</v>
      </c>
      <c r="S9" s="129"/>
      <c r="T9" s="128"/>
    </row>
    <row r="10" spans="1:20" ht="13.2">
      <c r="A10" s="122" t="s">
        <v>63</v>
      </c>
      <c r="B10" s="125">
        <v>693.54166666666663</v>
      </c>
      <c r="C10" s="125">
        <v>725.0625</v>
      </c>
      <c r="D10" s="125">
        <v>564.35416666666674</v>
      </c>
      <c r="E10" s="125">
        <v>624.375</v>
      </c>
      <c r="F10" s="156">
        <v>684</v>
      </c>
      <c r="G10" s="156">
        <v>539.20000000000005</v>
      </c>
      <c r="H10" s="156">
        <v>535.62509999999997</v>
      </c>
      <c r="I10" s="156">
        <v>456.37670000000003</v>
      </c>
      <c r="J10" s="189">
        <v>510.06220000000008</v>
      </c>
      <c r="K10" s="190">
        <v>602.62480000000005</v>
      </c>
      <c r="L10" s="190">
        <v>589.02083333333303</v>
      </c>
      <c r="M10" s="190">
        <v>541.29999999999995</v>
      </c>
      <c r="N10" s="190">
        <v>645.70833333333303</v>
      </c>
      <c r="O10" s="190">
        <v>614.33333333333303</v>
      </c>
      <c r="P10" s="188">
        <v>589.43819444444398</v>
      </c>
      <c r="Q10" s="187">
        <f t="shared" si="7"/>
        <v>4.2235367717141425E-2</v>
      </c>
      <c r="R10" s="188">
        <v>589.43819444444398</v>
      </c>
      <c r="S10" s="126"/>
      <c r="T10" s="128"/>
    </row>
    <row r="11" spans="1:20" ht="13.2">
      <c r="A11" s="122" t="s">
        <v>64</v>
      </c>
      <c r="B11" s="125">
        <v>568.33333333333326</v>
      </c>
      <c r="C11" s="125">
        <v>485.58333333333326</v>
      </c>
      <c r="D11" s="125">
        <v>486.20833333333337</v>
      </c>
      <c r="E11" s="125">
        <v>595.75</v>
      </c>
      <c r="F11" s="156">
        <v>436</v>
      </c>
      <c r="G11" s="156">
        <v>444.2</v>
      </c>
      <c r="H11" s="156">
        <v>404.58330000000001</v>
      </c>
      <c r="I11" s="156">
        <v>428.04169999999999</v>
      </c>
      <c r="J11" s="189">
        <v>289.93369999999999</v>
      </c>
      <c r="K11" s="190">
        <v>451.37509999999997</v>
      </c>
      <c r="L11" s="190">
        <v>419.04166666666703</v>
      </c>
      <c r="M11" s="190">
        <v>391.91666666666703</v>
      </c>
      <c r="N11" s="190">
        <v>397.79166666666703</v>
      </c>
      <c r="O11" s="190">
        <v>362.04166666666703</v>
      </c>
      <c r="P11" s="188">
        <v>449.71805555555602</v>
      </c>
      <c r="Q11" s="187">
        <f t="shared" si="7"/>
        <v>-0.19495856972115244</v>
      </c>
      <c r="R11" s="188">
        <v>449.71805555555602</v>
      </c>
      <c r="S11" s="126"/>
      <c r="T11" s="128"/>
    </row>
    <row r="12" spans="1:20" ht="13.2">
      <c r="A12" s="122" t="s">
        <v>65</v>
      </c>
      <c r="B12" s="125">
        <v>306.375</v>
      </c>
      <c r="C12" s="125">
        <v>293.58333333333337</v>
      </c>
      <c r="D12" s="125">
        <v>387.70833333333331</v>
      </c>
      <c r="E12" s="125">
        <v>406.20833333333337</v>
      </c>
      <c r="F12" s="156">
        <v>317</v>
      </c>
      <c r="G12" s="156">
        <v>234.9</v>
      </c>
      <c r="H12" s="156">
        <v>213.33349999999996</v>
      </c>
      <c r="I12" s="156">
        <v>213.16689999999997</v>
      </c>
      <c r="J12" s="189">
        <v>188.74990000000003</v>
      </c>
      <c r="K12" s="190">
        <v>257.58359999999999</v>
      </c>
      <c r="L12" s="190">
        <v>172.458333333333</v>
      </c>
      <c r="M12" s="190">
        <v>179.916666666667</v>
      </c>
      <c r="N12" s="190">
        <v>227.708333333333</v>
      </c>
      <c r="O12" s="190">
        <v>284.58333333333297</v>
      </c>
      <c r="P12" s="188">
        <v>283.27361111111099</v>
      </c>
      <c r="Q12" s="187">
        <f t="shared" si="7"/>
        <v>4.62352358585294E-3</v>
      </c>
      <c r="R12" s="188">
        <v>283.27361111111099</v>
      </c>
      <c r="S12" s="126"/>
      <c r="T12" s="128"/>
    </row>
    <row r="13" spans="1:20" ht="13.2">
      <c r="A13" s="122" t="s">
        <v>66</v>
      </c>
      <c r="B13" s="125">
        <v>251.70833333333334</v>
      </c>
      <c r="C13" s="125">
        <v>94.875</v>
      </c>
      <c r="D13" s="125">
        <v>224.20833333333326</v>
      </c>
      <c r="E13" s="125">
        <v>199.16666666666669</v>
      </c>
      <c r="F13" s="156">
        <v>220</v>
      </c>
      <c r="G13" s="156">
        <v>76.8</v>
      </c>
      <c r="H13" s="156">
        <v>125.83319999999998</v>
      </c>
      <c r="I13" s="156">
        <v>44</v>
      </c>
      <c r="J13" s="189">
        <v>122.95819999999998</v>
      </c>
      <c r="K13" s="190">
        <v>124.58319999999998</v>
      </c>
      <c r="L13" s="190">
        <v>124.833333333333</v>
      </c>
      <c r="M13" s="190">
        <v>114</v>
      </c>
      <c r="N13" s="190">
        <v>143.291666666667</v>
      </c>
      <c r="O13" s="190">
        <v>99.9583333333334</v>
      </c>
      <c r="P13" s="188">
        <v>158.07499999999999</v>
      </c>
      <c r="Q13" s="187">
        <f t="shared" si="7"/>
        <v>-0.36765248563445574</v>
      </c>
      <c r="R13" s="188">
        <v>158.07499999999999</v>
      </c>
      <c r="S13" s="126"/>
      <c r="T13" s="128"/>
    </row>
    <row r="14" spans="1:20">
      <c r="A14" s="122" t="s">
        <v>67</v>
      </c>
      <c r="B14" s="125">
        <v>71.458333333333343</v>
      </c>
      <c r="C14" s="125">
        <v>41.25</v>
      </c>
      <c r="D14" s="125">
        <v>113.20833333333331</v>
      </c>
      <c r="E14" s="125">
        <v>79.916666666666686</v>
      </c>
      <c r="F14" s="156">
        <v>68</v>
      </c>
      <c r="G14" s="156">
        <v>22.6</v>
      </c>
      <c r="H14" s="156">
        <v>20.833499999999997</v>
      </c>
      <c r="I14" s="156">
        <v>7.875</v>
      </c>
      <c r="J14" s="189">
        <v>33.625</v>
      </c>
      <c r="K14" s="190">
        <v>18.916799999999999</v>
      </c>
      <c r="L14" s="190">
        <v>16.5833333333333</v>
      </c>
      <c r="M14" s="190">
        <v>24.2916666666667</v>
      </c>
      <c r="N14" s="190">
        <v>47.4583333333333</v>
      </c>
      <c r="O14" s="190">
        <v>24</v>
      </c>
      <c r="P14" s="188">
        <v>54.019444444444503</v>
      </c>
      <c r="Q14" s="187">
        <f t="shared" si="7"/>
        <v>-0.55571553452974798</v>
      </c>
      <c r="R14" s="188">
        <v>54.019444444444503</v>
      </c>
      <c r="T14" s="128"/>
    </row>
    <row r="15" spans="1:20">
      <c r="A15" s="122" t="s">
        <v>68</v>
      </c>
      <c r="B15" s="125">
        <v>77.25</v>
      </c>
      <c r="C15" s="125">
        <v>58.833333333333329</v>
      </c>
      <c r="D15" s="125">
        <v>95.458333333333371</v>
      </c>
      <c r="E15" s="125">
        <v>43.54166666666665</v>
      </c>
      <c r="F15" s="156">
        <v>31</v>
      </c>
      <c r="G15" s="156">
        <v>7.6</v>
      </c>
      <c r="H15" s="156">
        <v>13.208299999999999</v>
      </c>
      <c r="I15" s="156">
        <v>18.333299999999998</v>
      </c>
      <c r="J15" s="189">
        <v>32.166600000000003</v>
      </c>
      <c r="K15" s="190">
        <v>4.7084000000000001</v>
      </c>
      <c r="L15" s="190">
        <v>25.0833333333333</v>
      </c>
      <c r="M15" s="190">
        <v>8.2083333333333393</v>
      </c>
      <c r="N15" s="190">
        <v>22.2916666666667</v>
      </c>
      <c r="O15" s="190">
        <v>47.75</v>
      </c>
      <c r="P15" s="188">
        <v>44.426388888888901</v>
      </c>
      <c r="Q15" s="187">
        <f t="shared" si="7"/>
        <v>7.4811642229655417E-2</v>
      </c>
      <c r="R15" s="188">
        <v>44.426388888888901</v>
      </c>
      <c r="T15" s="128"/>
    </row>
    <row r="16" spans="1:20">
      <c r="A16" s="122" t="s">
        <v>69</v>
      </c>
      <c r="B16" s="125">
        <v>144.20833333333334</v>
      </c>
      <c r="C16" s="125">
        <v>122.375</v>
      </c>
      <c r="D16" s="125">
        <v>155.33333333333331</v>
      </c>
      <c r="E16" s="125">
        <v>95.666666666666657</v>
      </c>
      <c r="F16" s="156">
        <v>110</v>
      </c>
      <c r="G16" s="156">
        <v>113.95833333333337</v>
      </c>
      <c r="H16" s="156">
        <v>63.499800000000008</v>
      </c>
      <c r="I16" s="156">
        <v>164.66670000000002</v>
      </c>
      <c r="J16" s="189">
        <v>137.37489999999997</v>
      </c>
      <c r="K16" s="190">
        <v>102.2084</v>
      </c>
      <c r="L16" s="190">
        <v>116.666666666667</v>
      </c>
      <c r="M16" s="190">
        <v>115.708333333333</v>
      </c>
      <c r="N16" s="190">
        <v>68</v>
      </c>
      <c r="O16" s="190">
        <v>131.666666666667</v>
      </c>
      <c r="P16" s="188">
        <v>134.64444444444399</v>
      </c>
      <c r="Q16" s="187">
        <f t="shared" si="7"/>
        <v>-2.2115860703080581E-2</v>
      </c>
      <c r="R16" s="188">
        <v>134.64444444444399</v>
      </c>
      <c r="T16" s="128"/>
    </row>
    <row r="17" spans="1:20">
      <c r="A17" s="122" t="s">
        <v>70</v>
      </c>
      <c r="B17" s="125">
        <v>422.1666666666668</v>
      </c>
      <c r="C17" s="125">
        <v>404.08333333333343</v>
      </c>
      <c r="D17" s="125">
        <v>377.16666666666663</v>
      </c>
      <c r="E17" s="156">
        <v>411.83333333333337</v>
      </c>
      <c r="F17" s="156">
        <v>360</v>
      </c>
      <c r="G17" s="156">
        <v>431.99999999999989</v>
      </c>
      <c r="H17" s="156">
        <v>238.79180000000002</v>
      </c>
      <c r="I17" s="156">
        <v>259.66660000000002</v>
      </c>
      <c r="J17" s="189">
        <v>340.29179999999997</v>
      </c>
      <c r="K17" s="190">
        <v>389.20829999999995</v>
      </c>
      <c r="L17" s="190">
        <v>366.375</v>
      </c>
      <c r="M17" s="190">
        <v>445.29166666666703</v>
      </c>
      <c r="N17" s="190">
        <v>348.33333333333297</v>
      </c>
      <c r="O17" s="190">
        <v>413.25</v>
      </c>
      <c r="P17" s="188">
        <v>386.39305555555597</v>
      </c>
      <c r="Q17" s="187">
        <f t="shared" si="7"/>
        <v>6.9506798992101659E-2</v>
      </c>
      <c r="R17" s="188">
        <v>386.39305555555597</v>
      </c>
      <c r="T17" s="128"/>
    </row>
    <row r="18" spans="1:20">
      <c r="A18" s="122" t="s">
        <v>71</v>
      </c>
      <c r="B18" s="125">
        <v>481.75</v>
      </c>
      <c r="C18" s="125">
        <v>556.375</v>
      </c>
      <c r="D18" s="125">
        <v>652.29166666666674</v>
      </c>
      <c r="E18" s="156">
        <v>659.25</v>
      </c>
      <c r="F18" s="156">
        <v>550</v>
      </c>
      <c r="G18" s="156">
        <v>519.20833333333337</v>
      </c>
      <c r="H18" s="156">
        <v>583.24990000000003</v>
      </c>
      <c r="I18" s="156">
        <v>635.52080000000001</v>
      </c>
      <c r="J18" s="189">
        <v>427.58320000000003</v>
      </c>
      <c r="K18" s="190">
        <v>563.87490000000003</v>
      </c>
      <c r="L18" s="190">
        <v>493.60416666666703</v>
      </c>
      <c r="M18" s="190">
        <v>560.95833333333303</v>
      </c>
      <c r="N18" s="190">
        <v>565.54166666666697</v>
      </c>
      <c r="O18" s="190"/>
      <c r="P18" s="188">
        <v>580.98055555555504</v>
      </c>
      <c r="Q18" s="187">
        <f t="shared" si="7"/>
        <v>-1</v>
      </c>
      <c r="R18" s="188">
        <v>580.98055555555504</v>
      </c>
      <c r="T18" s="128"/>
    </row>
    <row r="19" spans="1:20">
      <c r="A19" s="122" t="s">
        <v>72</v>
      </c>
      <c r="B19" s="125">
        <v>865.66666666666663</v>
      </c>
      <c r="C19" s="125">
        <v>840.66666666666663</v>
      </c>
      <c r="D19" s="125">
        <v>682.875</v>
      </c>
      <c r="E19" s="156">
        <v>787.95833333333326</v>
      </c>
      <c r="F19" s="156">
        <v>733</v>
      </c>
      <c r="G19" s="156">
        <v>773.79169999999999</v>
      </c>
      <c r="H19" s="156">
        <v>623.74980000000005</v>
      </c>
      <c r="I19" s="156">
        <v>693.83320000000003</v>
      </c>
      <c r="J19" s="189">
        <v>841.37519999999995</v>
      </c>
      <c r="K19" s="190">
        <v>780.5</v>
      </c>
      <c r="L19" s="190">
        <v>653.20833333333303</v>
      </c>
      <c r="M19" s="190">
        <v>634.20833333333303</v>
      </c>
      <c r="N19" s="190">
        <v>646.91666666666697</v>
      </c>
      <c r="O19" s="190"/>
      <c r="P19" s="188">
        <v>734.99305555555497</v>
      </c>
      <c r="Q19" s="187">
        <f t="shared" si="7"/>
        <v>-1</v>
      </c>
      <c r="R19" s="188">
        <v>734.99305555555497</v>
      </c>
      <c r="T19" s="128"/>
    </row>
    <row r="20" spans="1:20" ht="7.5" customHeight="1">
      <c r="A20" s="122"/>
      <c r="B20" s="125"/>
      <c r="C20" s="125"/>
      <c r="D20" s="125"/>
      <c r="E20" s="158"/>
      <c r="F20" s="159"/>
      <c r="G20" s="159"/>
      <c r="H20" s="159"/>
      <c r="I20" s="159"/>
      <c r="J20" s="159"/>
      <c r="K20" s="117"/>
      <c r="L20" s="117"/>
      <c r="M20" s="117"/>
      <c r="N20" s="117"/>
      <c r="O20" s="117"/>
      <c r="P20" s="159"/>
      <c r="Q20" s="127"/>
      <c r="R20" s="159"/>
    </row>
    <row r="21" spans="1:20" ht="13.2">
      <c r="A21" s="122" t="s">
        <v>20</v>
      </c>
      <c r="B21" s="125">
        <f t="shared" ref="B21:N21" si="8">SUM(B8:B19)</f>
        <v>5331.8750000000009</v>
      </c>
      <c r="C21" s="125">
        <f t="shared" si="8"/>
        <v>5094.8125000000009</v>
      </c>
      <c r="D21" s="125">
        <f t="shared" si="8"/>
        <v>4815.7708333333339</v>
      </c>
      <c r="E21" s="156">
        <f t="shared" si="8"/>
        <v>5345.958333333333</v>
      </c>
      <c r="F21" s="156">
        <f t="shared" si="8"/>
        <v>4916</v>
      </c>
      <c r="G21" s="156">
        <f t="shared" si="8"/>
        <v>4573.2583666666669</v>
      </c>
      <c r="H21" s="156">
        <f t="shared" si="8"/>
        <v>4145.4163000000008</v>
      </c>
      <c r="I21" s="156">
        <f t="shared" si="8"/>
        <v>4007.3980000000001</v>
      </c>
      <c r="J21" s="156">
        <f t="shared" si="8"/>
        <v>4104.5374000000002</v>
      </c>
      <c r="K21" s="156">
        <f t="shared" si="8"/>
        <v>4813.0834999999997</v>
      </c>
      <c r="L21" s="156">
        <f t="shared" si="8"/>
        <v>4278.1666666666661</v>
      </c>
      <c r="M21" s="156">
        <f t="shared" si="8"/>
        <v>4436.1750000000002</v>
      </c>
      <c r="N21" s="156">
        <f t="shared" si="8"/>
        <v>4358.7500000000009</v>
      </c>
      <c r="O21" s="156"/>
      <c r="P21" s="100">
        <f>SUM(P8:P19)</f>
        <v>4743.0256944444427</v>
      </c>
      <c r="Q21" s="127"/>
      <c r="R21" s="100">
        <f>SUM(R8:R19)</f>
        <v>4763.4840277777757</v>
      </c>
    </row>
    <row r="22" spans="1:20" ht="19.5" customHeight="1">
      <c r="A22" s="447" t="s">
        <v>73</v>
      </c>
      <c r="B22" s="125"/>
      <c r="C22" s="125"/>
      <c r="D22" s="125"/>
      <c r="E22" s="125"/>
      <c r="F22" s="100"/>
      <c r="G22" s="100"/>
      <c r="H22" s="100"/>
      <c r="I22" s="100"/>
      <c r="J22" s="100"/>
      <c r="K22" s="117"/>
      <c r="L22" s="117"/>
      <c r="M22" s="117"/>
      <c r="N22" s="117"/>
      <c r="O22" s="117"/>
      <c r="P22" s="130"/>
      <c r="Q22" s="131"/>
    </row>
    <row r="23" spans="1:20">
      <c r="A23" s="448"/>
      <c r="B23" s="132">
        <f>B21/$R$21-1</f>
        <v>0.11932253134632353</v>
      </c>
      <c r="C23" s="132">
        <f>C21/$P$21-1</f>
        <v>7.4169281007187005E-2</v>
      </c>
      <c r="D23" s="132">
        <f>D21/$P$21-1</f>
        <v>1.5337285432397874E-2</v>
      </c>
      <c r="E23" s="132">
        <f>E21/$P$21-1</f>
        <v>0.12711983399017046</v>
      </c>
      <c r="F23" s="132">
        <f>F21/$R$21-1</f>
        <v>3.2017735618056653E-2</v>
      </c>
      <c r="G23" s="132">
        <f>G21/$P$21-1</f>
        <v>-3.5793044085050241E-2</v>
      </c>
      <c r="H23" s="132">
        <f>H21/$P$21-1</f>
        <v>-0.12599750305894997</v>
      </c>
      <c r="I23" s="132">
        <f>I21/$P$21-1</f>
        <v>-0.15509671290756266</v>
      </c>
      <c r="J23" s="132">
        <f>J21/$R$21-1</f>
        <v>-0.13833291429869288</v>
      </c>
      <c r="K23" s="132">
        <f>K21/$P$21-1</f>
        <v>1.4770699142029997E-2</v>
      </c>
      <c r="L23" s="132"/>
      <c r="M23" s="132"/>
      <c r="N23" s="132"/>
      <c r="O23" s="132"/>
      <c r="P23" s="133"/>
      <c r="Q23" s="134"/>
    </row>
    <row r="24" spans="1:20" ht="17.25" customHeight="1">
      <c r="A24" s="165" t="s">
        <v>133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7"/>
    </row>
    <row r="25" spans="1:20">
      <c r="A25" s="166" t="s">
        <v>162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20">
      <c r="A26" s="136"/>
      <c r="B26" s="138"/>
      <c r="C26" s="138"/>
      <c r="D26" s="138"/>
      <c r="E26" s="138"/>
      <c r="F26" s="138"/>
      <c r="G26" s="138"/>
      <c r="H26" s="101"/>
      <c r="I26" s="101"/>
      <c r="J26" s="101"/>
      <c r="K26" s="101"/>
      <c r="L26" s="101"/>
      <c r="M26" s="101"/>
      <c r="N26" s="101"/>
      <c r="O26" s="101"/>
      <c r="P26" s="117"/>
      <c r="Q26" s="117"/>
    </row>
    <row r="30" spans="1:20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28"/>
    </row>
    <row r="31" spans="1:20"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28"/>
    </row>
    <row r="32" spans="1:20"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28"/>
    </row>
    <row r="33" spans="2:16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28"/>
    </row>
    <row r="34" spans="2:16"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28"/>
    </row>
    <row r="35" spans="2:16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28"/>
    </row>
    <row r="36" spans="2:16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28"/>
    </row>
    <row r="37" spans="2:16"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28"/>
    </row>
    <row r="38" spans="2:16"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28"/>
    </row>
    <row r="39" spans="2:16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28"/>
    </row>
    <row r="40" spans="2:16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28"/>
    </row>
    <row r="41" spans="2:16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28"/>
    </row>
    <row r="42" spans="2:16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</row>
    <row r="43" spans="2:16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2:16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</row>
    <row r="45" spans="2:16"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</row>
  </sheetData>
  <mergeCells count="3">
    <mergeCell ref="B6:H6"/>
    <mergeCell ref="A22:A23"/>
    <mergeCell ref="A4:Q4"/>
  </mergeCells>
  <phoneticPr fontId="45" type="noConversion"/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719D9017-6A99-4A68-AA7C-2E99D59FB9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9EDDBA3-ED8F-4F21-957B-BD2EC39B6EA6}"/>
</file>

<file path=customXml/itemProps3.xml><?xml version="1.0" encoding="utf-8"?>
<ds:datastoreItem xmlns:ds="http://schemas.openxmlformats.org/officeDocument/2006/customXml" ds:itemID="{3859027D-E9A8-4A01-9382-7CCDD676AFC8}"/>
</file>

<file path=customXml/itemProps4.xml><?xml version="1.0" encoding="utf-8"?>
<ds:datastoreItem xmlns:ds="http://schemas.openxmlformats.org/officeDocument/2006/customXml" ds:itemID="{15104E43-99B4-4A17-A79F-E0C3F20FFAE2}"/>
</file>

<file path=customXml/itemProps5.xml><?xml version="1.0" encoding="utf-8"?>
<ds:datastoreItem xmlns:ds="http://schemas.openxmlformats.org/officeDocument/2006/customXml" ds:itemID="{8FA1D2DC-0B15-41F3-8507-CF3CCB4AD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3.01E Lead Sheet </vt:lpstr>
      <vt:lpstr>Summary</vt:lpstr>
      <vt:lpstr>Sales &amp; Revenue Adj.</vt:lpstr>
      <vt:lpstr>Temp Adj. by Schedule</vt:lpstr>
      <vt:lpstr>Normalized TotalUsage</vt:lpstr>
      <vt:lpstr>Actual Total Usage</vt:lpstr>
      <vt:lpstr>SAP BW Actual Usage</vt:lpstr>
      <vt:lpstr>System Model </vt:lpstr>
      <vt:lpstr>TABLE-HDD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Iov, Marina</cp:lastModifiedBy>
  <cp:lastPrinted>2015-04-28T19:11:31Z</cp:lastPrinted>
  <dcterms:created xsi:type="dcterms:W3CDTF">2004-05-04T16:51:38Z</dcterms:created>
  <dcterms:modified xsi:type="dcterms:W3CDTF">2022-03-28T20:27:14Z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